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10.xml" ContentType="application/vnd.openxmlformats-officedocument.drawing+xml"/>
  <Override PartName="/xl/comments2.xml" ContentType="application/vnd.openxmlformats-officedocument.spreadsheetml.comments+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omments3.xml" ContentType="application/vnd.openxmlformats-officedocument.spreadsheetml.comments+xml"/>
  <Override PartName="/xl/drawings/drawing14.xml" ContentType="application/vnd.openxmlformats-officedocument.drawing+xml"/>
  <Override PartName="/xl/comments4.xml" ContentType="application/vnd.openxmlformats-officedocument.spreadsheetml.comments+xml"/>
  <Override PartName="/xl/drawings/drawing15.xml" ContentType="application/vnd.openxmlformats-officedocument.drawing+xml"/>
  <Override PartName="/xl/drawings/drawing16.xml" ContentType="application/vnd.openxmlformats-officedocument.drawing+xml"/>
  <Override PartName="/xl/charts/chart7.xml" ContentType="application/vnd.openxmlformats-officedocument.drawingml.chart+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Keith\Documents\ITPower\ITPA_Projects\A0142 ARENA Industrial Gas Replacement\Work\UserSpreadsheet\"/>
    </mc:Choice>
  </mc:AlternateContent>
  <workbookProtection workbookAlgorithmName="SHA-512" workbookHashValue="OO7i2AYPqoaJPtdNwF3g45EOQED0h41/mLNA4m41P+PAn/Ckjj9182U68YgRySYuFi+zv96UmHlbIyq+8ZH2Bg==" workbookSaltValue="jMtF9Eq2lBVSrwB1fcG3Og==" workbookSpinCount="100000" lockStructure="1"/>
  <bookViews>
    <workbookView xWindow="0" yWindow="0" windowWidth="20736" windowHeight="9168" tabRatio="881"/>
  </bookViews>
  <sheets>
    <sheet name="About" sheetId="35" r:id="rId1"/>
    <sheet name="General Parameters" sheetId="39" r:id="rId2"/>
    <sheet name="Baseline" sheetId="13" r:id="rId3"/>
    <sheet name="Bioenergy" sheetId="24" r:id="rId4"/>
    <sheet name=" Solar-thermal" sheetId="25" r:id="rId5"/>
    <sheet name="Heat Pump" sheetId="45" r:id="rId6"/>
    <sheet name="Geothermal" sheetId="46" r:id="rId7"/>
    <sheet name="Other" sheetId="43" r:id="rId8"/>
    <sheet name="Summary" sheetId="36" r:id="rId9"/>
    <sheet name="Baseline_DCF" sheetId="14" state="hidden" r:id="rId10"/>
    <sheet name="Biomass_DCF" sheetId="41" state="hidden" r:id="rId11"/>
    <sheet name="Solar_DCF" sheetId="32" state="hidden" r:id="rId12"/>
    <sheet name="HeatPump_DCF" sheetId="47" state="hidden" r:id="rId13"/>
    <sheet name="Geo_DCF" sheetId="48" state="hidden" r:id="rId14"/>
    <sheet name="Other_DCF" sheetId="42" state="hidden" r:id="rId15"/>
    <sheet name="Solar Calculator" sheetId="34" state="hidden" r:id="rId16"/>
  </sheets>
  <externalReferences>
    <externalReference r:id="rId17"/>
  </externalReferences>
  <definedNames>
    <definedName name="_NDI2" localSheetId="10">#REF!</definedName>
    <definedName name="_NDI2" localSheetId="13">#REF!</definedName>
    <definedName name="_NDI2" localSheetId="6">#REF!</definedName>
    <definedName name="_NDI2" localSheetId="5">#REF!</definedName>
    <definedName name="_NDI2" localSheetId="12">#REF!</definedName>
    <definedName name="_NDI2" localSheetId="7">#REF!</definedName>
    <definedName name="_NDI2" localSheetId="14">#REF!</definedName>
    <definedName name="_NDI2" localSheetId="15">#REF!</definedName>
    <definedName name="_NDI2" localSheetId="11">#REF!</definedName>
    <definedName name="_NDI2">#REF!</definedName>
    <definedName name="_RD1" localSheetId="10">#REF!</definedName>
    <definedName name="_RD1" localSheetId="13">#REF!</definedName>
    <definedName name="_RD1" localSheetId="6">#REF!</definedName>
    <definedName name="_RD1" localSheetId="5">#REF!</definedName>
    <definedName name="_RD1" localSheetId="12">#REF!</definedName>
    <definedName name="_RD1" localSheetId="7">#REF!</definedName>
    <definedName name="_RD1" localSheetId="14">#REF!</definedName>
    <definedName name="_RD1" localSheetId="15">#REF!</definedName>
    <definedName name="_RD1" localSheetId="11">#REF!</definedName>
    <definedName name="_RD1">#REF!</definedName>
    <definedName name="_RD2" localSheetId="10">#REF!</definedName>
    <definedName name="_RD2" localSheetId="13">#REF!</definedName>
    <definedName name="_RD2" localSheetId="6">#REF!</definedName>
    <definedName name="_RD2" localSheetId="5">#REF!</definedName>
    <definedName name="_RD2" localSheetId="12">#REF!</definedName>
    <definedName name="_RD2" localSheetId="7">#REF!</definedName>
    <definedName name="_RD2" localSheetId="14">#REF!</definedName>
    <definedName name="_RD2" localSheetId="15">#REF!</definedName>
    <definedName name="_RD2" localSheetId="11">#REF!</definedName>
    <definedName name="_RD2">#REF!</definedName>
    <definedName name="_RD3" localSheetId="10">#REF!</definedName>
    <definedName name="_RD3" localSheetId="13">#REF!</definedName>
    <definedName name="_RD3" localSheetId="6">#REF!</definedName>
    <definedName name="_RD3" localSheetId="5">#REF!</definedName>
    <definedName name="_RD3" localSheetId="12">#REF!</definedName>
    <definedName name="_RD3" localSheetId="7">#REF!</definedName>
    <definedName name="_RD3" localSheetId="14">#REF!</definedName>
    <definedName name="_RD3" localSheetId="15">#REF!</definedName>
    <definedName name="_RD3" localSheetId="11">#REF!</definedName>
    <definedName name="_RD3">#REF!</definedName>
    <definedName name="_RD4" localSheetId="10">#REF!</definedName>
    <definedName name="_RD4" localSheetId="13">#REF!</definedName>
    <definedName name="_RD4" localSheetId="6">#REF!</definedName>
    <definedName name="_RD4" localSheetId="5">#REF!</definedName>
    <definedName name="_RD4" localSheetId="12">#REF!</definedName>
    <definedName name="_RD4" localSheetId="7">#REF!</definedName>
    <definedName name="_RD4" localSheetId="14">#REF!</definedName>
    <definedName name="_RD4" localSheetId="15">#REF!</definedName>
    <definedName name="_RD4" localSheetId="11">#REF!</definedName>
    <definedName name="_RD4">#REF!</definedName>
    <definedName name="_RD5" localSheetId="10">#REF!</definedName>
    <definedName name="_RD5" localSheetId="13">#REF!</definedName>
    <definedName name="_RD5" localSheetId="6">#REF!</definedName>
    <definedName name="_RD5" localSheetId="5">#REF!</definedName>
    <definedName name="_RD5" localSheetId="12">#REF!</definedName>
    <definedName name="_RD5" localSheetId="7">#REF!</definedName>
    <definedName name="_RD5" localSheetId="14">#REF!</definedName>
    <definedName name="_RD5" localSheetId="15">#REF!</definedName>
    <definedName name="_RD5" localSheetId="11">#REF!</definedName>
    <definedName name="_RD5">#REF!</definedName>
    <definedName name="_RD6" localSheetId="10">#REF!</definedName>
    <definedName name="_RD6" localSheetId="13">#REF!</definedName>
    <definedName name="_RD6" localSheetId="6">#REF!</definedName>
    <definedName name="_RD6" localSheetId="5">#REF!</definedName>
    <definedName name="_RD6" localSheetId="12">#REF!</definedName>
    <definedName name="_RD6" localSheetId="7">#REF!</definedName>
    <definedName name="_RD6" localSheetId="14">#REF!</definedName>
    <definedName name="_RD6" localSheetId="15">#REF!</definedName>
    <definedName name="_RD6" localSheetId="11">#REF!</definedName>
    <definedName name="_RD6">#REF!</definedName>
    <definedName name="_RD7" localSheetId="10">#REF!</definedName>
    <definedName name="_RD7" localSheetId="13">#REF!</definedName>
    <definedName name="_RD7" localSheetId="6">#REF!</definedName>
    <definedName name="_RD7" localSheetId="5">#REF!</definedName>
    <definedName name="_RD7" localSheetId="12">#REF!</definedName>
    <definedName name="_RD7" localSheetId="7">#REF!</definedName>
    <definedName name="_RD7" localSheetId="14">#REF!</definedName>
    <definedName name="_RD7" localSheetId="15">#REF!</definedName>
    <definedName name="_RD7" localSheetId="11">#REF!</definedName>
    <definedName name="_RD7">#REF!</definedName>
    <definedName name="_RD8" localSheetId="10">#REF!</definedName>
    <definedName name="_RD8" localSheetId="13">#REF!</definedName>
    <definedName name="_RD8" localSheetId="6">#REF!</definedName>
    <definedName name="_RD8" localSheetId="5">#REF!</definedName>
    <definedName name="_RD8" localSheetId="12">#REF!</definedName>
    <definedName name="_RD8" localSheetId="7">#REF!</definedName>
    <definedName name="_RD8" localSheetId="14">#REF!</definedName>
    <definedName name="_RD8" localSheetId="15">#REF!</definedName>
    <definedName name="_RD8" localSheetId="11">#REF!</definedName>
    <definedName name="_RD8">#REF!</definedName>
    <definedName name="_Rec1">[1]Sheet1!$E$23</definedName>
    <definedName name="_Rec2">[1]Sheet1!$F$23</definedName>
    <definedName name="_Rec3">[1]Sheet1!$G$23</definedName>
    <definedName name="_Rec4">[1]Sheet1!$H$23</definedName>
    <definedName name="_Rec5">[1]Sheet1!$I$23</definedName>
    <definedName name="_Rec6">[1]Sheet1!$J$23</definedName>
    <definedName name="_Rec7">[1]Sheet1!$K$23</definedName>
    <definedName name="_Rec8">[1]Sheet1!$L$23</definedName>
    <definedName name="Avail">[1]Sheet1!$I$6</definedName>
    <definedName name="AvOut">[1]Sheet1!$I$12</definedName>
    <definedName name="BOSfact">[1]Sheet1!$I$5</definedName>
    <definedName name="Capfact">[1]Sheet1!$I$8</definedName>
    <definedName name="ConvEff" localSheetId="10">#REF!</definedName>
    <definedName name="ConvEff" localSheetId="13">#REF!</definedName>
    <definedName name="ConvEff" localSheetId="6">#REF!</definedName>
    <definedName name="ConvEff" localSheetId="5">#REF!</definedName>
    <definedName name="ConvEff" localSheetId="12">#REF!</definedName>
    <definedName name="ConvEff" localSheetId="7">#REF!</definedName>
    <definedName name="ConvEff" localSheetId="14">#REF!</definedName>
    <definedName name="ConvEff" localSheetId="15">#REF!</definedName>
    <definedName name="ConvEff" localSheetId="11">#REF!</definedName>
    <definedName name="ConvEff">#REF!</definedName>
    <definedName name="ConvEff2" localSheetId="10">#REF!</definedName>
    <definedName name="ConvEff2" localSheetId="13">#REF!</definedName>
    <definedName name="ConvEff2" localSheetId="6">#REF!</definedName>
    <definedName name="ConvEff2" localSheetId="5">#REF!</definedName>
    <definedName name="ConvEff2" localSheetId="12">#REF!</definedName>
    <definedName name="ConvEff2" localSheetId="7">#REF!</definedName>
    <definedName name="ConvEff2" localSheetId="14">#REF!</definedName>
    <definedName name="ConvEff2" localSheetId="15">#REF!</definedName>
    <definedName name="ConvEff2" localSheetId="11">#REF!</definedName>
    <definedName name="ConvEff2">#REF!</definedName>
    <definedName name="DayRev" localSheetId="10">#REF!</definedName>
    <definedName name="DayRev" localSheetId="13">#REF!</definedName>
    <definedName name="DayRev" localSheetId="6">#REF!</definedName>
    <definedName name="DayRev" localSheetId="5">#REF!</definedName>
    <definedName name="DayRev" localSheetId="12">#REF!</definedName>
    <definedName name="DayRev" localSheetId="7">#REF!</definedName>
    <definedName name="DayRev" localSheetId="14">#REF!</definedName>
    <definedName name="DayRev" localSheetId="15">#REF!</definedName>
    <definedName name="DayRev" localSheetId="11">#REF!</definedName>
    <definedName name="DayRev">#REF!</definedName>
    <definedName name="DishCap" localSheetId="10">#REF!</definedName>
    <definedName name="DishCap" localSheetId="13">#REF!</definedName>
    <definedName name="DishCap" localSheetId="6">#REF!</definedName>
    <definedName name="DishCap" localSheetId="5">#REF!</definedName>
    <definedName name="DishCap" localSheetId="12">#REF!</definedName>
    <definedName name="DishCap" localSheetId="7">#REF!</definedName>
    <definedName name="DishCap" localSheetId="14">#REF!</definedName>
    <definedName name="DishCap" localSheetId="15">#REF!</definedName>
    <definedName name="DishCap" localSheetId="11">#REF!</definedName>
    <definedName name="DishCap">#REF!</definedName>
    <definedName name="DishCap2" localSheetId="10">#REF!</definedName>
    <definedName name="DishCap2" localSheetId="13">#REF!</definedName>
    <definedName name="DishCap2" localSheetId="6">#REF!</definedName>
    <definedName name="DishCap2" localSheetId="5">#REF!</definedName>
    <definedName name="DishCap2" localSheetId="12">#REF!</definedName>
    <definedName name="DishCap2" localSheetId="7">#REF!</definedName>
    <definedName name="DishCap2" localSheetId="14">#REF!</definedName>
    <definedName name="DishCap2" localSheetId="15">#REF!</definedName>
    <definedName name="DishCap2" localSheetId="11">#REF!</definedName>
    <definedName name="DishCap2">#REF!</definedName>
    <definedName name="ds" localSheetId="10">#REF!</definedName>
    <definedName name="ds" localSheetId="13">#REF!</definedName>
    <definedName name="ds" localSheetId="6">#REF!</definedName>
    <definedName name="ds" localSheetId="5">#REF!</definedName>
    <definedName name="ds" localSheetId="12">#REF!</definedName>
    <definedName name="ds" localSheetId="7">#REF!</definedName>
    <definedName name="ds" localSheetId="14">#REF!</definedName>
    <definedName name="ds" localSheetId="11">#REF!</definedName>
    <definedName name="ds">#REF!</definedName>
    <definedName name="ECap" localSheetId="10">#REF!</definedName>
    <definedName name="ECap" localSheetId="13">#REF!</definedName>
    <definedName name="ECap" localSheetId="6">#REF!</definedName>
    <definedName name="ECap" localSheetId="5">#REF!</definedName>
    <definedName name="ECap" localSheetId="12">#REF!</definedName>
    <definedName name="ECap" localSheetId="7">#REF!</definedName>
    <definedName name="ECap" localSheetId="14">#REF!</definedName>
    <definedName name="ECap" localSheetId="15">#REF!</definedName>
    <definedName name="ECap" localSheetId="11">#REF!</definedName>
    <definedName name="ECap">#REF!</definedName>
    <definedName name="EVal" localSheetId="10">#REF!</definedName>
    <definedName name="EVal" localSheetId="13">#REF!</definedName>
    <definedName name="EVal" localSheetId="6">#REF!</definedName>
    <definedName name="EVal" localSheetId="5">#REF!</definedName>
    <definedName name="EVal" localSheetId="12">#REF!</definedName>
    <definedName name="EVal" localSheetId="7">#REF!</definedName>
    <definedName name="EVal" localSheetId="14">#REF!</definedName>
    <definedName name="EVal" localSheetId="15">#REF!</definedName>
    <definedName name="EVal" localSheetId="11">#REF!</definedName>
    <definedName name="EVal">#REF!</definedName>
    <definedName name="LifeT">[1]Sheet1!$I$9</definedName>
    <definedName name="NDI" localSheetId="10">#REF!</definedName>
    <definedName name="NDI" localSheetId="13">#REF!</definedName>
    <definedName name="NDI" localSheetId="6">#REF!</definedName>
    <definedName name="NDI" localSheetId="5">#REF!</definedName>
    <definedName name="NDI" localSheetId="12">#REF!</definedName>
    <definedName name="NDI" localSheetId="7">#REF!</definedName>
    <definedName name="NDI" localSheetId="14">#REF!</definedName>
    <definedName name="NDI" localSheetId="15">#REF!</definedName>
    <definedName name="NDI" localSheetId="11">#REF!</definedName>
    <definedName name="NDI">#REF!</definedName>
    <definedName name="NumD" localSheetId="10">#REF!</definedName>
    <definedName name="NumD" localSheetId="13">#REF!</definedName>
    <definedName name="NumD" localSheetId="6">#REF!</definedName>
    <definedName name="NumD" localSheetId="5">#REF!</definedName>
    <definedName name="NumD" localSheetId="12">#REF!</definedName>
    <definedName name="NumD" localSheetId="7">#REF!</definedName>
    <definedName name="NumD" localSheetId="14">#REF!</definedName>
    <definedName name="NumD" localSheetId="15">#REF!</definedName>
    <definedName name="NumD" localSheetId="11">#REF!</definedName>
    <definedName name="NumD">#REF!</definedName>
    <definedName name="OandM">[1]Sheet1!$I$4</definedName>
    <definedName name="RCB" localSheetId="10">#REF!</definedName>
    <definedName name="RCB" localSheetId="13">#REF!</definedName>
    <definedName name="RCB" localSheetId="6">#REF!</definedName>
    <definedName name="RCB" localSheetId="5">#REF!</definedName>
    <definedName name="RCB" localSheetId="12">#REF!</definedName>
    <definedName name="RCB" localSheetId="7">#REF!</definedName>
    <definedName name="RCB" localSheetId="14">#REF!</definedName>
    <definedName name="RCB" localSheetId="15">#REF!</definedName>
    <definedName name="RCB" localSheetId="11">#REF!</definedName>
    <definedName name="RCB">#REF!</definedName>
    <definedName name="RCCost" localSheetId="10">#REF!</definedName>
    <definedName name="RCCost" localSheetId="13">#REF!</definedName>
    <definedName name="RCCost" localSheetId="6">#REF!</definedName>
    <definedName name="RCCost" localSheetId="5">#REF!</definedName>
    <definedName name="RCCost" localSheetId="12">#REF!</definedName>
    <definedName name="RCCost" localSheetId="7">#REF!</definedName>
    <definedName name="RCCost" localSheetId="14">#REF!</definedName>
    <definedName name="RCCost" localSheetId="15">#REF!</definedName>
    <definedName name="RCCost" localSheetId="11">#REF!</definedName>
    <definedName name="RCCost">#REF!</definedName>
    <definedName name="ThermOff">[1]Sheet1!$I$16</definedName>
  </definedNames>
  <calcPr calcId="152511"/>
  <customWorkbookViews>
    <customWorkbookView name="Joshua Jordan - Personal View" guid="{DB2EC640-BB7D-4423-BC8A-12C228389242}" mergeInterval="0" personalView="1" maximized="1" windowWidth="1920" windowHeight="800" activeSheetId="4"/>
  </customWorkbookViews>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5" i="24" l="1"/>
  <c r="C16" i="24"/>
  <c r="D16" i="36"/>
  <c r="D15" i="36"/>
  <c r="D14" i="36"/>
  <c r="C16" i="36"/>
  <c r="C15" i="36"/>
  <c r="C14" i="36"/>
  <c r="B4" i="36"/>
  <c r="B3" i="36"/>
  <c r="D10" i="36"/>
  <c r="E10" i="36"/>
  <c r="F10" i="36"/>
  <c r="C10" i="36"/>
  <c r="G10" i="36"/>
  <c r="B10" i="36"/>
  <c r="F6" i="36" l="1"/>
  <c r="H17" i="46"/>
  <c r="C7" i="46" s="1"/>
  <c r="C19" i="43"/>
  <c r="B17" i="46"/>
  <c r="F17" i="36" s="1"/>
  <c r="B14" i="45"/>
  <c r="E17" i="36" s="1"/>
  <c r="H17" i="45"/>
  <c r="C5" i="45" s="1"/>
  <c r="C20" i="24"/>
  <c r="C9" i="13"/>
  <c r="B15" i="14" s="1"/>
  <c r="C4" i="39"/>
  <c r="B14" i="24" s="1"/>
  <c r="B13" i="24" l="1"/>
  <c r="C17" i="36"/>
  <c r="F21" i="36" l="1"/>
  <c r="F19" i="36"/>
  <c r="F12" i="36"/>
  <c r="F9" i="36"/>
  <c r="B18" i="47"/>
  <c r="D17" i="48"/>
  <c r="B17" i="48" s="1"/>
  <c r="F11" i="36" s="1"/>
  <c r="A50" i="48"/>
  <c r="B18" i="48"/>
  <c r="B16" i="48"/>
  <c r="B15" i="48"/>
  <c r="B14" i="48"/>
  <c r="D14" i="48" s="1"/>
  <c r="B13" i="48"/>
  <c r="B12" i="48"/>
  <c r="B43" i="48" s="1"/>
  <c r="B11" i="48"/>
  <c r="D50" i="48" s="1"/>
  <c r="B10" i="48"/>
  <c r="B9" i="48"/>
  <c r="B8" i="48"/>
  <c r="B7" i="48"/>
  <c r="B6" i="48"/>
  <c r="H18" i="46"/>
  <c r="H16" i="46"/>
  <c r="E21" i="36"/>
  <c r="E19" i="36"/>
  <c r="E12" i="36"/>
  <c r="E9" i="36"/>
  <c r="E6" i="36"/>
  <c r="B4" i="47"/>
  <c r="E3" i="45"/>
  <c r="B31" i="48" l="1"/>
  <c r="B32" i="48" s="1"/>
  <c r="C50" i="48"/>
  <c r="B28" i="48"/>
  <c r="B44" i="48"/>
  <c r="E50" i="48"/>
  <c r="B50" i="48"/>
  <c r="A51" i="48"/>
  <c r="B30" i="48"/>
  <c r="B49" i="48"/>
  <c r="A52" i="48" l="1"/>
  <c r="E51" i="48"/>
  <c r="D51" i="48"/>
  <c r="C51" i="48"/>
  <c r="B51" i="48"/>
  <c r="E52" i="48" l="1"/>
  <c r="B52" i="48"/>
  <c r="D52" i="48"/>
  <c r="A53" i="48"/>
  <c r="C52" i="48"/>
  <c r="D53" i="48" l="1"/>
  <c r="C53" i="48"/>
  <c r="A54" i="48"/>
  <c r="E53" i="48"/>
  <c r="B53" i="48"/>
  <c r="A55" i="48" l="1"/>
  <c r="C54" i="48"/>
  <c r="D54" i="48"/>
  <c r="E54" i="48"/>
  <c r="B54" i="48"/>
  <c r="E55" i="48" l="1"/>
  <c r="D55" i="48"/>
  <c r="C55" i="48"/>
  <c r="A56" i="48"/>
  <c r="B55" i="48"/>
  <c r="D56" i="48" l="1"/>
  <c r="C56" i="48"/>
  <c r="A57" i="48"/>
  <c r="E56" i="48"/>
  <c r="B56" i="48"/>
  <c r="C57" i="48" l="1"/>
  <c r="A58" i="48"/>
  <c r="E57" i="48"/>
  <c r="D57" i="48"/>
  <c r="B57" i="48"/>
  <c r="A59" i="48" l="1"/>
  <c r="E58" i="48"/>
  <c r="D58" i="48"/>
  <c r="C58" i="48"/>
  <c r="B58" i="48"/>
  <c r="E59" i="48" l="1"/>
  <c r="D59" i="48"/>
  <c r="C59" i="48"/>
  <c r="A60" i="48"/>
  <c r="B59" i="48"/>
  <c r="D60" i="48" l="1"/>
  <c r="C60" i="48"/>
  <c r="A61" i="48"/>
  <c r="E60" i="48"/>
  <c r="B60" i="48"/>
  <c r="C61" i="48" l="1"/>
  <c r="A62" i="48"/>
  <c r="E61" i="48"/>
  <c r="D61" i="48"/>
  <c r="B61" i="48"/>
  <c r="A63" i="48" l="1"/>
  <c r="E62" i="48"/>
  <c r="D62" i="48"/>
  <c r="C62" i="48"/>
  <c r="B62" i="48"/>
  <c r="E63" i="48" l="1"/>
  <c r="D63" i="48"/>
  <c r="C63" i="48"/>
  <c r="A64" i="48"/>
  <c r="B63" i="48"/>
  <c r="D64" i="48" l="1"/>
  <c r="C64" i="48"/>
  <c r="A65" i="48"/>
  <c r="E64" i="48"/>
  <c r="B64" i="48"/>
  <c r="D65" i="48" l="1"/>
  <c r="A66" i="48"/>
  <c r="C65" i="48"/>
  <c r="E65" i="48"/>
  <c r="B65" i="48"/>
  <c r="C66" i="48" l="1"/>
  <c r="A67" i="48"/>
  <c r="E66" i="48"/>
  <c r="D66" i="48"/>
  <c r="B66" i="48"/>
  <c r="A68" i="48" l="1"/>
  <c r="E67" i="48"/>
  <c r="D67" i="48"/>
  <c r="C67" i="48"/>
  <c r="B67" i="48"/>
  <c r="E68" i="48" l="1"/>
  <c r="D68" i="48"/>
  <c r="C68" i="48"/>
  <c r="A69" i="48"/>
  <c r="B68" i="48"/>
  <c r="D69" i="48" l="1"/>
  <c r="C69" i="48"/>
  <c r="A70" i="48"/>
  <c r="E69" i="48"/>
  <c r="B69" i="48"/>
  <c r="C70" i="48" l="1"/>
  <c r="A71" i="48"/>
  <c r="E70" i="48"/>
  <c r="D70" i="48"/>
  <c r="B70" i="48"/>
  <c r="A72" i="48" l="1"/>
  <c r="E71" i="48"/>
  <c r="D71" i="48"/>
  <c r="C71" i="48"/>
  <c r="B71" i="48"/>
  <c r="E72" i="48" l="1"/>
  <c r="D72" i="48"/>
  <c r="C72" i="48"/>
  <c r="A73" i="48"/>
  <c r="B72" i="48"/>
  <c r="D73" i="48" l="1"/>
  <c r="C73" i="48"/>
  <c r="A74" i="48"/>
  <c r="E73" i="48"/>
  <c r="B73" i="48"/>
  <c r="C74" i="48" l="1"/>
  <c r="A75" i="48"/>
  <c r="E74" i="48"/>
  <c r="D74" i="48"/>
  <c r="B74" i="48"/>
  <c r="A76" i="48" l="1"/>
  <c r="E75" i="48"/>
  <c r="D75" i="48"/>
  <c r="C75" i="48"/>
  <c r="B75" i="48"/>
  <c r="E76" i="48" l="1"/>
  <c r="D76" i="48"/>
  <c r="C76" i="48"/>
  <c r="A77" i="48"/>
  <c r="B76" i="48"/>
  <c r="D77" i="48" l="1"/>
  <c r="C77" i="48"/>
  <c r="A78" i="48"/>
  <c r="E77" i="48"/>
  <c r="B77" i="48"/>
  <c r="C78" i="48" l="1"/>
  <c r="A79" i="48"/>
  <c r="E78" i="48"/>
  <c r="D78" i="48"/>
  <c r="B78" i="48"/>
  <c r="A80" i="48" l="1"/>
  <c r="E79" i="48"/>
  <c r="D79" i="48"/>
  <c r="C79" i="48"/>
  <c r="B79" i="48"/>
  <c r="E80" i="48" l="1"/>
  <c r="D80" i="48"/>
  <c r="C80" i="48"/>
  <c r="A81" i="48"/>
  <c r="B80" i="48"/>
  <c r="D81" i="48" l="1"/>
  <c r="C81" i="48"/>
  <c r="A82" i="48"/>
  <c r="E81" i="48"/>
  <c r="B81" i="48"/>
  <c r="C82" i="48" l="1"/>
  <c r="A83" i="48"/>
  <c r="E82" i="48"/>
  <c r="D82" i="48"/>
  <c r="B82" i="48"/>
  <c r="A84" i="48" l="1"/>
  <c r="E83" i="48"/>
  <c r="D83" i="48"/>
  <c r="C83" i="48"/>
  <c r="B83" i="48"/>
  <c r="E84" i="48" l="1"/>
  <c r="D84" i="48"/>
  <c r="C84" i="48"/>
  <c r="A85" i="48"/>
  <c r="B84" i="48"/>
  <c r="D85" i="48" l="1"/>
  <c r="C85" i="48"/>
  <c r="A86" i="48"/>
  <c r="E85" i="48"/>
  <c r="B85" i="48"/>
  <c r="C86" i="48" l="1"/>
  <c r="A87" i="48"/>
  <c r="E86" i="48"/>
  <c r="D86" i="48"/>
  <c r="B86" i="48"/>
  <c r="A88" i="48" l="1"/>
  <c r="E87" i="48"/>
  <c r="D87" i="48"/>
  <c r="C87" i="48"/>
  <c r="B87" i="48"/>
  <c r="E88" i="48" l="1"/>
  <c r="D88" i="48"/>
  <c r="C88" i="48"/>
  <c r="A89" i="48"/>
  <c r="B88" i="48"/>
  <c r="D89" i="48" l="1"/>
  <c r="C89" i="48"/>
  <c r="E89" i="48"/>
  <c r="B89" i="48"/>
  <c r="D17" i="47" l="1"/>
  <c r="B17" i="47" s="1"/>
  <c r="E11" i="36" s="1"/>
  <c r="B15" i="47"/>
  <c r="B14" i="47"/>
  <c r="D14" i="47" s="1"/>
  <c r="A50" i="47"/>
  <c r="E50" i="47" s="1"/>
  <c r="B16" i="47"/>
  <c r="B13" i="47"/>
  <c r="B12" i="47"/>
  <c r="B43" i="47" s="1"/>
  <c r="B11" i="47"/>
  <c r="B10" i="47"/>
  <c r="B9" i="47"/>
  <c r="B8" i="47"/>
  <c r="B7" i="47"/>
  <c r="B6" i="47"/>
  <c r="B28" i="47" l="1"/>
  <c r="B44" i="47"/>
  <c r="B49" i="47"/>
  <c r="B31" i="47"/>
  <c r="B32" i="47" s="1"/>
  <c r="C50" i="47"/>
  <c r="A51" i="47"/>
  <c r="B30" i="47"/>
  <c r="B50" i="47"/>
  <c r="D50" i="47"/>
  <c r="B51" i="47"/>
  <c r="A52" i="47" l="1"/>
  <c r="C51" i="47"/>
  <c r="D51" i="47"/>
  <c r="E51" i="47"/>
  <c r="E52" i="47" l="1"/>
  <c r="A53" i="47"/>
  <c r="D52" i="47"/>
  <c r="C52" i="47"/>
  <c r="B52" i="47"/>
  <c r="D53" i="47" l="1"/>
  <c r="A54" i="47"/>
  <c r="E53" i="47"/>
  <c r="C53" i="47"/>
  <c r="B53" i="47"/>
  <c r="D54" i="47" l="1"/>
  <c r="A55" i="47"/>
  <c r="C54" i="47"/>
  <c r="E54" i="47"/>
  <c r="B54" i="47"/>
  <c r="E55" i="47" l="1"/>
  <c r="D55" i="47"/>
  <c r="A56" i="47"/>
  <c r="C55" i="47"/>
  <c r="B55" i="47"/>
  <c r="D56" i="47" l="1"/>
  <c r="A57" i="47"/>
  <c r="C56" i="47"/>
  <c r="E56" i="47"/>
  <c r="B56" i="47"/>
  <c r="E57" i="47" l="1"/>
  <c r="D57" i="47"/>
  <c r="A58" i="47"/>
  <c r="C57" i="47"/>
  <c r="B57" i="47"/>
  <c r="D58" i="47" l="1"/>
  <c r="A59" i="47"/>
  <c r="C58" i="47"/>
  <c r="E58" i="47"/>
  <c r="B58" i="47"/>
  <c r="E59" i="47" l="1"/>
  <c r="D59" i="47"/>
  <c r="C59" i="47"/>
  <c r="A60" i="47"/>
  <c r="B59" i="47"/>
  <c r="D60" i="47" l="1"/>
  <c r="A61" i="47"/>
  <c r="C60" i="47"/>
  <c r="E60" i="47"/>
  <c r="B60" i="47"/>
  <c r="A62" i="47" l="1"/>
  <c r="E61" i="47"/>
  <c r="D61" i="47"/>
  <c r="C61" i="47"/>
  <c r="B61" i="47"/>
  <c r="A63" i="47" l="1"/>
  <c r="C62" i="47"/>
  <c r="E62" i="47"/>
  <c r="D62" i="47"/>
  <c r="B62" i="47"/>
  <c r="E63" i="47" l="1"/>
  <c r="D63" i="47"/>
  <c r="C63" i="47"/>
  <c r="A64" i="47"/>
  <c r="B63" i="47"/>
  <c r="D64" i="47" l="1"/>
  <c r="A65" i="47"/>
  <c r="C64" i="47"/>
  <c r="E64" i="47"/>
  <c r="B64" i="47"/>
  <c r="E65" i="47" l="1"/>
  <c r="A66" i="47"/>
  <c r="D65" i="47"/>
  <c r="C65" i="47"/>
  <c r="B65" i="47"/>
  <c r="D66" i="47" l="1"/>
  <c r="A67" i="47"/>
  <c r="C66" i="47"/>
  <c r="E66" i="47"/>
  <c r="B66" i="47"/>
  <c r="E67" i="47" l="1"/>
  <c r="D67" i="47"/>
  <c r="C67" i="47"/>
  <c r="A68" i="47"/>
  <c r="B67" i="47"/>
  <c r="D68" i="47" l="1"/>
  <c r="A69" i="47"/>
  <c r="C68" i="47"/>
  <c r="E68" i="47"/>
  <c r="B68" i="47"/>
  <c r="A70" i="47" l="1"/>
  <c r="E69" i="47"/>
  <c r="D69" i="47"/>
  <c r="C69" i="47"/>
  <c r="B69" i="47"/>
  <c r="E70" i="47" l="1"/>
  <c r="D70" i="47"/>
  <c r="A71" i="47"/>
  <c r="C70" i="47"/>
  <c r="B70" i="47"/>
  <c r="A72" i="47" l="1"/>
  <c r="C71" i="47"/>
  <c r="E71" i="47"/>
  <c r="D71" i="47"/>
  <c r="B71" i="47"/>
  <c r="E72" i="47" l="1"/>
  <c r="D72" i="47"/>
  <c r="A73" i="47"/>
  <c r="C72" i="47"/>
  <c r="B72" i="47"/>
  <c r="A74" i="47" l="1"/>
  <c r="C73" i="47"/>
  <c r="E73" i="47"/>
  <c r="D73" i="47"/>
  <c r="B73" i="47"/>
  <c r="E74" i="47" l="1"/>
  <c r="A75" i="47"/>
  <c r="D74" i="47"/>
  <c r="C74" i="47"/>
  <c r="B74" i="47"/>
  <c r="D75" i="47" l="1"/>
  <c r="A76" i="47"/>
  <c r="E75" i="47"/>
  <c r="C75" i="47"/>
  <c r="B75" i="47"/>
  <c r="E76" i="47" l="1"/>
  <c r="C76" i="47"/>
  <c r="A77" i="47"/>
  <c r="D76" i="47"/>
  <c r="B76" i="47"/>
  <c r="D77" i="47" l="1"/>
  <c r="A78" i="47"/>
  <c r="C77" i="47"/>
  <c r="E77" i="47"/>
  <c r="B77" i="47"/>
  <c r="A79" i="47" l="1"/>
  <c r="E78" i="47"/>
  <c r="D78" i="47"/>
  <c r="C78" i="47"/>
  <c r="B78" i="47"/>
  <c r="E79" i="47" l="1"/>
  <c r="D79" i="47"/>
  <c r="A80" i="47"/>
  <c r="C79" i="47"/>
  <c r="B79" i="47"/>
  <c r="A81" i="47" l="1"/>
  <c r="C80" i="47"/>
  <c r="E80" i="47"/>
  <c r="D80" i="47"/>
  <c r="B80" i="47"/>
  <c r="E81" i="47" l="1"/>
  <c r="D81" i="47"/>
  <c r="A82" i="47"/>
  <c r="C81" i="47"/>
  <c r="B81" i="47"/>
  <c r="A83" i="47" l="1"/>
  <c r="C82" i="47"/>
  <c r="E82" i="47"/>
  <c r="D82" i="47"/>
  <c r="B82" i="47"/>
  <c r="E83" i="47" l="1"/>
  <c r="D83" i="47"/>
  <c r="A84" i="47"/>
  <c r="C83" i="47"/>
  <c r="B83" i="47"/>
  <c r="A85" i="47" l="1"/>
  <c r="C84" i="47"/>
  <c r="E84" i="47"/>
  <c r="D84" i="47"/>
  <c r="B84" i="47"/>
  <c r="E85" i="47" l="1"/>
  <c r="D85" i="47"/>
  <c r="A86" i="47"/>
  <c r="C85" i="47"/>
  <c r="B85" i="47"/>
  <c r="A87" i="47" l="1"/>
  <c r="C86" i="47"/>
  <c r="E86" i="47"/>
  <c r="D86" i="47"/>
  <c r="B86" i="47"/>
  <c r="E87" i="47" l="1"/>
  <c r="D87" i="47"/>
  <c r="A88" i="47"/>
  <c r="C87" i="47"/>
  <c r="B87" i="47"/>
  <c r="A89" i="47" l="1"/>
  <c r="C88" i="47"/>
  <c r="E88" i="47"/>
  <c r="D88" i="47"/>
  <c r="B88" i="47"/>
  <c r="E89" i="47" l="1"/>
  <c r="D89" i="47"/>
  <c r="C89" i="47"/>
  <c r="B89" i="47"/>
  <c r="C12" i="45" l="1"/>
  <c r="E13" i="36" s="1"/>
  <c r="E7" i="36"/>
  <c r="B19" i="47"/>
  <c r="B3" i="47" l="1"/>
  <c r="B23" i="47" s="1"/>
  <c r="B21" i="47" s="1"/>
  <c r="B22" i="47" s="1"/>
  <c r="H15" i="45"/>
  <c r="H18" i="45" s="1"/>
  <c r="B5" i="47" s="1"/>
  <c r="B24" i="47" s="1"/>
  <c r="H13" i="46"/>
  <c r="H12" i="46"/>
  <c r="H7" i="46"/>
  <c r="H4" i="46"/>
  <c r="K17" i="34"/>
  <c r="G2" i="34" s="1"/>
  <c r="H18" i="25"/>
  <c r="H24" i="25"/>
  <c r="H26" i="25" s="1"/>
  <c r="C16" i="25" s="1"/>
  <c r="C19" i="25" s="1"/>
  <c r="H23" i="25"/>
  <c r="H31" i="25"/>
  <c r="K24" i="34" s="1"/>
  <c r="H32" i="25"/>
  <c r="H34" i="25" l="1"/>
  <c r="H17" i="25" s="1"/>
  <c r="H33" i="25"/>
  <c r="C4" i="25" s="1"/>
  <c r="H20" i="45"/>
  <c r="D23" i="47"/>
  <c r="I7" i="45" s="1"/>
  <c r="E23" i="36" s="1"/>
  <c r="I4" i="45"/>
  <c r="B25" i="47"/>
  <c r="B35" i="47" s="1"/>
  <c r="B26" i="47"/>
  <c r="B33" i="47"/>
  <c r="M50" i="47"/>
  <c r="M51" i="47"/>
  <c r="M52" i="47"/>
  <c r="N52" i="47" s="1"/>
  <c r="M53" i="47"/>
  <c r="M54" i="47"/>
  <c r="M55" i="47"/>
  <c r="N55" i="47" s="1"/>
  <c r="M56" i="47"/>
  <c r="N56" i="47" s="1"/>
  <c r="M57" i="47"/>
  <c r="N57" i="47" s="1"/>
  <c r="M58" i="47"/>
  <c r="N58" i="47" s="1"/>
  <c r="M59" i="47"/>
  <c r="M60" i="47"/>
  <c r="N60" i="47" s="1"/>
  <c r="M61" i="47"/>
  <c r="M62" i="47"/>
  <c r="N62" i="47" s="1"/>
  <c r="M63" i="47"/>
  <c r="N63" i="47" s="1"/>
  <c r="M64" i="47"/>
  <c r="M65" i="47"/>
  <c r="N65" i="47" s="1"/>
  <c r="M66" i="47"/>
  <c r="N66" i="47" s="1"/>
  <c r="M67" i="47"/>
  <c r="N67" i="47" s="1"/>
  <c r="M68" i="47"/>
  <c r="N68" i="47" s="1"/>
  <c r="M69" i="47"/>
  <c r="N69" i="47" s="1"/>
  <c r="M70" i="47"/>
  <c r="N70" i="47" s="1"/>
  <c r="M71" i="47"/>
  <c r="N71" i="47" s="1"/>
  <c r="M72" i="47"/>
  <c r="N72" i="47" s="1"/>
  <c r="M73" i="47"/>
  <c r="N73" i="47" s="1"/>
  <c r="M74" i="47"/>
  <c r="N74" i="47" s="1"/>
  <c r="M75" i="47"/>
  <c r="N75" i="47" s="1"/>
  <c r="M76" i="47"/>
  <c r="N76" i="47" s="1"/>
  <c r="M77" i="47"/>
  <c r="N77" i="47" s="1"/>
  <c r="M78" i="47"/>
  <c r="N78" i="47" s="1"/>
  <c r="M79" i="47"/>
  <c r="N79" i="47" s="1"/>
  <c r="M80" i="47"/>
  <c r="N80" i="47" s="1"/>
  <c r="M81" i="47"/>
  <c r="N81" i="47" s="1"/>
  <c r="M82" i="47"/>
  <c r="N82" i="47" s="1"/>
  <c r="M83" i="47"/>
  <c r="N83" i="47" s="1"/>
  <c r="M84" i="47"/>
  <c r="N84" i="47" s="1"/>
  <c r="M85" i="47"/>
  <c r="N85" i="47" s="1"/>
  <c r="M86" i="47"/>
  <c r="N86" i="47" s="1"/>
  <c r="M87" i="47"/>
  <c r="N87" i="47" s="1"/>
  <c r="M88" i="47"/>
  <c r="N88" i="47" s="1"/>
  <c r="M89" i="47"/>
  <c r="N89" i="47" s="1"/>
  <c r="H12" i="45"/>
  <c r="H11" i="45"/>
  <c r="H6" i="45"/>
  <c r="H4" i="45"/>
  <c r="O79" i="47" l="1"/>
  <c r="P79" i="47" s="1"/>
  <c r="O75" i="47"/>
  <c r="P75" i="47" s="1"/>
  <c r="O67" i="47"/>
  <c r="P67" i="47" s="1"/>
  <c r="O71" i="47"/>
  <c r="P71" i="47" s="1"/>
  <c r="O63" i="47"/>
  <c r="P63" i="47" s="1"/>
  <c r="O87" i="47"/>
  <c r="P87" i="47" s="1"/>
  <c r="O55" i="47"/>
  <c r="P55" i="47" s="1"/>
  <c r="O59" i="47"/>
  <c r="P59" i="47" s="1"/>
  <c r="O83" i="47"/>
  <c r="P83" i="47" s="1"/>
  <c r="O51" i="47"/>
  <c r="P51" i="47" s="1"/>
  <c r="C6" i="45"/>
  <c r="B47" i="47"/>
  <c r="H20" i="46"/>
  <c r="C9" i="46" s="1"/>
  <c r="F7" i="36"/>
  <c r="B3" i="48"/>
  <c r="O86" i="47"/>
  <c r="P86" i="47" s="1"/>
  <c r="O82" i="47"/>
  <c r="P82" i="47" s="1"/>
  <c r="O78" i="47"/>
  <c r="P78" i="47" s="1"/>
  <c r="O74" i="47"/>
  <c r="P74" i="47" s="1"/>
  <c r="O70" i="47"/>
  <c r="P70" i="47" s="1"/>
  <c r="O66" i="47"/>
  <c r="P66" i="47" s="1"/>
  <c r="O62" i="47"/>
  <c r="P62" i="47" s="1"/>
  <c r="O58" i="47"/>
  <c r="P58" i="47" s="1"/>
  <c r="O54" i="47"/>
  <c r="P54" i="47" s="1"/>
  <c r="O50" i="47"/>
  <c r="P50" i="47" s="1"/>
  <c r="O89" i="47"/>
  <c r="P89" i="47" s="1"/>
  <c r="O85" i="47"/>
  <c r="P85" i="47" s="1"/>
  <c r="O81" i="47"/>
  <c r="P81" i="47" s="1"/>
  <c r="O77" i="47"/>
  <c r="P77" i="47" s="1"/>
  <c r="O73" i="47"/>
  <c r="P73" i="47" s="1"/>
  <c r="O69" i="47"/>
  <c r="P69" i="47" s="1"/>
  <c r="O65" i="47"/>
  <c r="P65" i="47" s="1"/>
  <c r="O61" i="47"/>
  <c r="P61" i="47" s="1"/>
  <c r="O57" i="47"/>
  <c r="P57" i="47" s="1"/>
  <c r="O53" i="47"/>
  <c r="P53" i="47" s="1"/>
  <c r="D21" i="47"/>
  <c r="E20" i="36" s="1"/>
  <c r="O88" i="47"/>
  <c r="P88" i="47" s="1"/>
  <c r="O84" i="47"/>
  <c r="P84" i="47" s="1"/>
  <c r="O80" i="47"/>
  <c r="P80" i="47" s="1"/>
  <c r="O76" i="47"/>
  <c r="P76" i="47" s="1"/>
  <c r="O72" i="47"/>
  <c r="P72" i="47" s="1"/>
  <c r="Q72" i="47" s="1"/>
  <c r="O68" i="47"/>
  <c r="P68" i="47" s="1"/>
  <c r="O64" i="47"/>
  <c r="P64" i="47" s="1"/>
  <c r="O60" i="47"/>
  <c r="P60" i="47" s="1"/>
  <c r="O56" i="47"/>
  <c r="P56" i="47" s="1"/>
  <c r="O52" i="47"/>
  <c r="P52" i="47" s="1"/>
  <c r="B45" i="47"/>
  <c r="Q83" i="47"/>
  <c r="Q79" i="47"/>
  <c r="Q75" i="47"/>
  <c r="Q71" i="47"/>
  <c r="Q67" i="47"/>
  <c r="Q63" i="47"/>
  <c r="N59" i="47"/>
  <c r="Q55" i="47"/>
  <c r="N51" i="47"/>
  <c r="N50" i="47"/>
  <c r="I50" i="47"/>
  <c r="K50" i="47" s="1"/>
  <c r="L50" i="47" s="1"/>
  <c r="B29" i="47"/>
  <c r="N54" i="47"/>
  <c r="F50" i="47"/>
  <c r="G50" i="47" s="1"/>
  <c r="F51" i="47"/>
  <c r="G51" i="47" s="1"/>
  <c r="F52" i="47"/>
  <c r="G52" i="47" s="1"/>
  <c r="F53" i="47"/>
  <c r="G53" i="47" s="1"/>
  <c r="F54" i="47"/>
  <c r="G54" i="47" s="1"/>
  <c r="F55" i="47"/>
  <c r="G55" i="47" s="1"/>
  <c r="F56" i="47"/>
  <c r="G56" i="47" s="1"/>
  <c r="F57" i="47"/>
  <c r="G57" i="47" s="1"/>
  <c r="F58" i="47"/>
  <c r="G58" i="47" s="1"/>
  <c r="F59" i="47"/>
  <c r="G59" i="47" s="1"/>
  <c r="F60" i="47"/>
  <c r="G60" i="47" s="1"/>
  <c r="F61" i="47"/>
  <c r="G61" i="47" s="1"/>
  <c r="F62" i="47"/>
  <c r="G62" i="47" s="1"/>
  <c r="F63" i="47"/>
  <c r="G63" i="47" s="1"/>
  <c r="F64" i="47"/>
  <c r="G64" i="47" s="1"/>
  <c r="F65" i="47"/>
  <c r="G65" i="47" s="1"/>
  <c r="F66" i="47"/>
  <c r="G66" i="47" s="1"/>
  <c r="F67" i="47"/>
  <c r="G67" i="47" s="1"/>
  <c r="F68" i="47"/>
  <c r="G68" i="47" s="1"/>
  <c r="F69" i="47"/>
  <c r="G69" i="47" s="1"/>
  <c r="F70" i="47"/>
  <c r="G70" i="47" s="1"/>
  <c r="F71" i="47"/>
  <c r="G71" i="47" s="1"/>
  <c r="F72" i="47"/>
  <c r="G72" i="47" s="1"/>
  <c r="F73" i="47"/>
  <c r="G73" i="47" s="1"/>
  <c r="F74" i="47"/>
  <c r="G74" i="47" s="1"/>
  <c r="F75" i="47"/>
  <c r="G75" i="47" s="1"/>
  <c r="F76" i="47"/>
  <c r="G76" i="47" s="1"/>
  <c r="F77" i="47"/>
  <c r="G77" i="47" s="1"/>
  <c r="F78" i="47"/>
  <c r="G78" i="47" s="1"/>
  <c r="F79" i="47"/>
  <c r="G79" i="47" s="1"/>
  <c r="F80" i="47"/>
  <c r="G80" i="47" s="1"/>
  <c r="F81" i="47"/>
  <c r="G81" i="47" s="1"/>
  <c r="F82" i="47"/>
  <c r="G82" i="47" s="1"/>
  <c r="F83" i="47"/>
  <c r="G83" i="47" s="1"/>
  <c r="F84" i="47"/>
  <c r="G84" i="47" s="1"/>
  <c r="F85" i="47"/>
  <c r="G85" i="47" s="1"/>
  <c r="F86" i="47"/>
  <c r="G86" i="47" s="1"/>
  <c r="F87" i="47"/>
  <c r="G87" i="47" s="1"/>
  <c r="F88" i="47"/>
  <c r="G88" i="47" s="1"/>
  <c r="F89" i="47"/>
  <c r="G89" i="47" s="1"/>
  <c r="N64" i="47"/>
  <c r="N61" i="47"/>
  <c r="N53" i="47"/>
  <c r="B46" i="47"/>
  <c r="B27" i="47"/>
  <c r="U49" i="47" s="1"/>
  <c r="R50" i="47"/>
  <c r="S50" i="47" s="1"/>
  <c r="T50" i="47" s="1"/>
  <c r="I6" i="45"/>
  <c r="E22" i="36" s="1"/>
  <c r="R51" i="47"/>
  <c r="R52" i="47"/>
  <c r="S52" i="47" s="1"/>
  <c r="T52" i="47" s="1"/>
  <c r="R53" i="47"/>
  <c r="S53" i="47" s="1"/>
  <c r="T53" i="47" s="1"/>
  <c r="R54" i="47"/>
  <c r="S54" i="47" s="1"/>
  <c r="T54" i="47" s="1"/>
  <c r="R55" i="47"/>
  <c r="S55" i="47" s="1"/>
  <c r="T55" i="47" s="1"/>
  <c r="R56" i="47"/>
  <c r="S56" i="47" s="1"/>
  <c r="T56" i="47" s="1"/>
  <c r="R57" i="47"/>
  <c r="S57" i="47" s="1"/>
  <c r="T57" i="47" s="1"/>
  <c r="R58" i="47"/>
  <c r="S58" i="47" s="1"/>
  <c r="T58" i="47" s="1"/>
  <c r="R59" i="47"/>
  <c r="S59" i="47" s="1"/>
  <c r="T59" i="47" s="1"/>
  <c r="R60" i="47"/>
  <c r="S60" i="47" s="1"/>
  <c r="T60" i="47" s="1"/>
  <c r="R61" i="47"/>
  <c r="S61" i="47" s="1"/>
  <c r="T61" i="47" s="1"/>
  <c r="R62" i="47"/>
  <c r="S62" i="47" s="1"/>
  <c r="T62" i="47" s="1"/>
  <c r="R63" i="47"/>
  <c r="S63" i="47" s="1"/>
  <c r="T63" i="47" s="1"/>
  <c r="R64" i="47"/>
  <c r="S64" i="47" s="1"/>
  <c r="T64" i="47" s="1"/>
  <c r="R65" i="47"/>
  <c r="S65" i="47" s="1"/>
  <c r="T65" i="47" s="1"/>
  <c r="R66" i="47"/>
  <c r="S66" i="47" s="1"/>
  <c r="T66" i="47" s="1"/>
  <c r="R67" i="47"/>
  <c r="S67" i="47" s="1"/>
  <c r="T67" i="47" s="1"/>
  <c r="R68" i="47"/>
  <c r="S68" i="47" s="1"/>
  <c r="T68" i="47" s="1"/>
  <c r="R69" i="47"/>
  <c r="S69" i="47" s="1"/>
  <c r="T69" i="47" s="1"/>
  <c r="R70" i="47"/>
  <c r="S70" i="47" s="1"/>
  <c r="T70" i="47" s="1"/>
  <c r="R71" i="47"/>
  <c r="S71" i="47" s="1"/>
  <c r="T71" i="47" s="1"/>
  <c r="R72" i="47"/>
  <c r="S72" i="47" s="1"/>
  <c r="T72" i="47" s="1"/>
  <c r="R73" i="47"/>
  <c r="S73" i="47" s="1"/>
  <c r="T73" i="47" s="1"/>
  <c r="R74" i="47"/>
  <c r="S74" i="47" s="1"/>
  <c r="T74" i="47" s="1"/>
  <c r="R75" i="47"/>
  <c r="S75" i="47" s="1"/>
  <c r="T75" i="47" s="1"/>
  <c r="R76" i="47"/>
  <c r="S76" i="47" s="1"/>
  <c r="T76" i="47" s="1"/>
  <c r="R77" i="47"/>
  <c r="S77" i="47" s="1"/>
  <c r="T77" i="47" s="1"/>
  <c r="R78" i="47"/>
  <c r="S78" i="47" s="1"/>
  <c r="T78" i="47" s="1"/>
  <c r="R79" i="47"/>
  <c r="S79" i="47" s="1"/>
  <c r="T79" i="47" s="1"/>
  <c r="R80" i="47"/>
  <c r="R81" i="47"/>
  <c r="S81" i="47" s="1"/>
  <c r="T81" i="47" s="1"/>
  <c r="R82" i="47"/>
  <c r="S82" i="47" s="1"/>
  <c r="T82" i="47" s="1"/>
  <c r="R83" i="47"/>
  <c r="S83" i="47" s="1"/>
  <c r="T83" i="47" s="1"/>
  <c r="R84" i="47"/>
  <c r="S84" i="47" s="1"/>
  <c r="T84" i="47" s="1"/>
  <c r="R85" i="47"/>
  <c r="S85" i="47" s="1"/>
  <c r="T85" i="47" s="1"/>
  <c r="R86" i="47"/>
  <c r="S86" i="47" s="1"/>
  <c r="T86" i="47" s="1"/>
  <c r="R87" i="47"/>
  <c r="S87" i="47" s="1"/>
  <c r="T87" i="47" s="1"/>
  <c r="R88" i="47"/>
  <c r="S88" i="47" s="1"/>
  <c r="T88" i="47" s="1"/>
  <c r="R89" i="47"/>
  <c r="S89" i="47" s="1"/>
  <c r="T89" i="47" s="1"/>
  <c r="E3" i="25"/>
  <c r="E3" i="43"/>
  <c r="E3" i="24"/>
  <c r="Q59" i="47" l="1"/>
  <c r="Q87" i="47"/>
  <c r="Q51" i="47"/>
  <c r="B4" i="48"/>
  <c r="C8" i="46" s="1"/>
  <c r="E8" i="36"/>
  <c r="C9" i="45"/>
  <c r="C16" i="46"/>
  <c r="F8" i="36" s="1"/>
  <c r="C12" i="46"/>
  <c r="V49" i="47"/>
  <c r="Z49" i="47"/>
  <c r="Q88" i="47"/>
  <c r="Q57" i="47"/>
  <c r="Q81" i="47"/>
  <c r="Q70" i="47"/>
  <c r="Q64" i="47"/>
  <c r="Q52" i="47"/>
  <c r="Q62" i="47"/>
  <c r="Q73" i="47"/>
  <c r="Q54" i="47"/>
  <c r="Q86" i="47"/>
  <c r="Q65" i="47"/>
  <c r="Q78" i="47"/>
  <c r="Q89" i="47"/>
  <c r="Q74" i="47"/>
  <c r="Q85" i="47"/>
  <c r="Q58" i="47"/>
  <c r="Q80" i="47"/>
  <c r="Q53" i="47"/>
  <c r="Q69" i="47"/>
  <c r="Q56" i="47"/>
  <c r="Q61" i="47"/>
  <c r="Q77" i="47"/>
  <c r="Q66" i="47"/>
  <c r="Q82" i="47"/>
  <c r="Q50" i="47"/>
  <c r="Q68" i="47"/>
  <c r="B5" i="48"/>
  <c r="B24" i="48" s="1"/>
  <c r="B33" i="48" s="1"/>
  <c r="Q84" i="47"/>
  <c r="Q60" i="47"/>
  <c r="Q76" i="47"/>
  <c r="H50" i="47"/>
  <c r="J50" i="47" s="1"/>
  <c r="I51" i="47" s="1"/>
  <c r="H51" i="47"/>
  <c r="H52" i="47"/>
  <c r="H53" i="47"/>
  <c r="H54" i="47"/>
  <c r="H55" i="47"/>
  <c r="H56" i="47"/>
  <c r="H57" i="47"/>
  <c r="H58" i="47"/>
  <c r="H59" i="47"/>
  <c r="H60" i="47"/>
  <c r="H61" i="47"/>
  <c r="H62" i="47"/>
  <c r="H63" i="47"/>
  <c r="H64" i="47"/>
  <c r="H65" i="47"/>
  <c r="H66" i="47"/>
  <c r="H67" i="47"/>
  <c r="H68" i="47"/>
  <c r="H69" i="47"/>
  <c r="H70" i="47"/>
  <c r="H71" i="47"/>
  <c r="H72" i="47"/>
  <c r="H73" i="47"/>
  <c r="H74" i="47"/>
  <c r="H75" i="47"/>
  <c r="H76" i="47"/>
  <c r="H77" i="47"/>
  <c r="H78" i="47"/>
  <c r="H79" i="47"/>
  <c r="H80" i="47"/>
  <c r="H81" i="47"/>
  <c r="H82" i="47"/>
  <c r="H83" i="47"/>
  <c r="H84" i="47"/>
  <c r="H85" i="47"/>
  <c r="H86" i="47"/>
  <c r="H87" i="47"/>
  <c r="H88" i="47"/>
  <c r="H89" i="47"/>
  <c r="S80" i="47"/>
  <c r="T80" i="47" s="1"/>
  <c r="S51" i="47"/>
  <c r="T51" i="47" s="1"/>
  <c r="B5" i="14"/>
  <c r="F4" i="41"/>
  <c r="E5" i="39"/>
  <c r="B23" i="48" l="1"/>
  <c r="D19" i="48"/>
  <c r="B19" i="48" s="1"/>
  <c r="C15" i="46" s="1"/>
  <c r="F13" i="36" s="1"/>
  <c r="M85" i="48"/>
  <c r="N85" i="48" s="1"/>
  <c r="M86" i="48"/>
  <c r="N86" i="48" s="1"/>
  <c r="M89" i="48"/>
  <c r="N89" i="48" s="1"/>
  <c r="M88" i="48"/>
  <c r="N88" i="48" s="1"/>
  <c r="M80" i="48"/>
  <c r="N80" i="48" s="1"/>
  <c r="M87" i="48"/>
  <c r="N87" i="48" s="1"/>
  <c r="M84" i="48"/>
  <c r="N84" i="48" s="1"/>
  <c r="M77" i="48"/>
  <c r="N77" i="48" s="1"/>
  <c r="M83" i="48"/>
  <c r="N83" i="48" s="1"/>
  <c r="M69" i="48"/>
  <c r="N69" i="48" s="1"/>
  <c r="M81" i="48"/>
  <c r="N81" i="48" s="1"/>
  <c r="M75" i="48"/>
  <c r="N75" i="48" s="1"/>
  <c r="M79" i="48"/>
  <c r="N79" i="48" s="1"/>
  <c r="M74" i="48"/>
  <c r="N74" i="48" s="1"/>
  <c r="M67" i="48"/>
  <c r="N67" i="48" s="1"/>
  <c r="M82" i="48"/>
  <c r="N82" i="48" s="1"/>
  <c r="M78" i="48"/>
  <c r="N78" i="48" s="1"/>
  <c r="M73" i="48"/>
  <c r="N73" i="48" s="1"/>
  <c r="M61" i="48"/>
  <c r="N61" i="48" s="1"/>
  <c r="M71" i="48"/>
  <c r="N71" i="48" s="1"/>
  <c r="M70" i="48"/>
  <c r="N70" i="48" s="1"/>
  <c r="M66" i="48"/>
  <c r="N66" i="48" s="1"/>
  <c r="M60" i="48"/>
  <c r="N60" i="48" s="1"/>
  <c r="M65" i="48"/>
  <c r="N65" i="48" s="1"/>
  <c r="M57" i="48"/>
  <c r="N57" i="48" s="1"/>
  <c r="M76" i="48"/>
  <c r="N76" i="48" s="1"/>
  <c r="M72" i="48"/>
  <c r="N72" i="48" s="1"/>
  <c r="M68" i="48"/>
  <c r="N68" i="48" s="1"/>
  <c r="M64" i="48"/>
  <c r="N64" i="48" s="1"/>
  <c r="M63" i="48"/>
  <c r="N63" i="48" s="1"/>
  <c r="M56" i="48"/>
  <c r="N56" i="48" s="1"/>
  <c r="M52" i="48"/>
  <c r="N52" i="48" s="1"/>
  <c r="M59" i="48"/>
  <c r="N59" i="48" s="1"/>
  <c r="M55" i="48"/>
  <c r="N55" i="48" s="1"/>
  <c r="M51" i="48"/>
  <c r="N51" i="48" s="1"/>
  <c r="M62" i="48"/>
  <c r="N62" i="48" s="1"/>
  <c r="M58" i="48"/>
  <c r="N58" i="48" s="1"/>
  <c r="M54" i="48"/>
  <c r="N54" i="48" s="1"/>
  <c r="M50" i="48"/>
  <c r="N50" i="48" s="1"/>
  <c r="M53" i="48"/>
  <c r="N53" i="48" s="1"/>
  <c r="B25" i="48"/>
  <c r="B45" i="48" s="1"/>
  <c r="B26" i="48"/>
  <c r="B27" i="48" s="1"/>
  <c r="U49" i="48" s="1"/>
  <c r="D23" i="48"/>
  <c r="I8" i="46" s="1"/>
  <c r="F23" i="36" s="1"/>
  <c r="F50" i="48"/>
  <c r="G50" i="48" s="1"/>
  <c r="F51" i="48"/>
  <c r="G51" i="48" s="1"/>
  <c r="F52" i="48"/>
  <c r="G52" i="48" s="1"/>
  <c r="F53" i="48"/>
  <c r="G53" i="48" s="1"/>
  <c r="F54" i="48"/>
  <c r="G54" i="48" s="1"/>
  <c r="F55" i="48"/>
  <c r="G55" i="48" s="1"/>
  <c r="F56" i="48"/>
  <c r="G56" i="48" s="1"/>
  <c r="F57" i="48"/>
  <c r="G57" i="48" s="1"/>
  <c r="F58" i="48"/>
  <c r="G58" i="48" s="1"/>
  <c r="F59" i="48"/>
  <c r="G59" i="48" s="1"/>
  <c r="F60" i="48"/>
  <c r="G60" i="48" s="1"/>
  <c r="F61" i="48"/>
  <c r="G61" i="48" s="1"/>
  <c r="F62" i="48"/>
  <c r="G62" i="48" s="1"/>
  <c r="F63" i="48"/>
  <c r="G63" i="48" s="1"/>
  <c r="F64" i="48"/>
  <c r="G64" i="48" s="1"/>
  <c r="F65" i="48"/>
  <c r="G65" i="48" s="1"/>
  <c r="F66" i="48"/>
  <c r="G66" i="48" s="1"/>
  <c r="F67" i="48"/>
  <c r="G67" i="48" s="1"/>
  <c r="F68" i="48"/>
  <c r="G68" i="48" s="1"/>
  <c r="F69" i="48"/>
  <c r="G69" i="48" s="1"/>
  <c r="F70" i="48"/>
  <c r="G70" i="48" s="1"/>
  <c r="F71" i="48"/>
  <c r="G71" i="48" s="1"/>
  <c r="F72" i="48"/>
  <c r="G72" i="48" s="1"/>
  <c r="F73" i="48"/>
  <c r="G73" i="48" s="1"/>
  <c r="F74" i="48"/>
  <c r="G74" i="48" s="1"/>
  <c r="F75" i="48"/>
  <c r="G75" i="48" s="1"/>
  <c r="F76" i="48"/>
  <c r="G76" i="48" s="1"/>
  <c r="F77" i="48"/>
  <c r="G77" i="48" s="1"/>
  <c r="F78" i="48"/>
  <c r="G78" i="48" s="1"/>
  <c r="F79" i="48"/>
  <c r="G79" i="48" s="1"/>
  <c r="F80" i="48"/>
  <c r="G80" i="48" s="1"/>
  <c r="F81" i="48"/>
  <c r="G81" i="48" s="1"/>
  <c r="F82" i="48"/>
  <c r="G82" i="48" s="1"/>
  <c r="F83" i="48"/>
  <c r="G83" i="48" s="1"/>
  <c r="F84" i="48"/>
  <c r="G84" i="48" s="1"/>
  <c r="F85" i="48"/>
  <c r="G85" i="48" s="1"/>
  <c r="F86" i="48"/>
  <c r="G86" i="48" s="1"/>
  <c r="F87" i="48"/>
  <c r="G87" i="48" s="1"/>
  <c r="F88" i="48"/>
  <c r="G88" i="48" s="1"/>
  <c r="F89" i="48"/>
  <c r="G89" i="48" s="1"/>
  <c r="U50" i="47"/>
  <c r="K51" i="47"/>
  <c r="L51" i="47" s="1"/>
  <c r="U51" i="47" s="1"/>
  <c r="C5" i="25"/>
  <c r="B3" i="32"/>
  <c r="H20" i="24"/>
  <c r="B21" i="48" l="1"/>
  <c r="O88" i="48"/>
  <c r="P88" i="48" s="1"/>
  <c r="Q88" i="48" s="1"/>
  <c r="V49" i="48"/>
  <c r="Z49" i="48"/>
  <c r="V51" i="47"/>
  <c r="Z51" i="47"/>
  <c r="V50" i="47"/>
  <c r="Z50" i="47"/>
  <c r="O72" i="48"/>
  <c r="P72" i="48" s="1"/>
  <c r="Q72" i="48" s="1"/>
  <c r="O56" i="48"/>
  <c r="P56" i="48" s="1"/>
  <c r="Q56" i="48" s="1"/>
  <c r="O79" i="48"/>
  <c r="O63" i="48"/>
  <c r="P63" i="48" s="1"/>
  <c r="Q63" i="48" s="1"/>
  <c r="O87" i="48"/>
  <c r="P87" i="48" s="1"/>
  <c r="Q87" i="48" s="1"/>
  <c r="O71" i="48"/>
  <c r="P71" i="48" s="1"/>
  <c r="Q71" i="48" s="1"/>
  <c r="O55" i="48"/>
  <c r="P55" i="48" s="1"/>
  <c r="Q55" i="48" s="1"/>
  <c r="O84" i="48"/>
  <c r="P84" i="48" s="1"/>
  <c r="Q84" i="48" s="1"/>
  <c r="O68" i="48"/>
  <c r="P68" i="48" s="1"/>
  <c r="Q68" i="48" s="1"/>
  <c r="O52" i="48"/>
  <c r="P52" i="48" s="1"/>
  <c r="Q52" i="48" s="1"/>
  <c r="O83" i="48"/>
  <c r="P83" i="48" s="1"/>
  <c r="Q83" i="48" s="1"/>
  <c r="O67" i="48"/>
  <c r="P67" i="48" s="1"/>
  <c r="Q67" i="48" s="1"/>
  <c r="O51" i="48"/>
  <c r="P51" i="48" s="1"/>
  <c r="Q51" i="48" s="1"/>
  <c r="O80" i="48"/>
  <c r="O64" i="48"/>
  <c r="P64" i="48" s="1"/>
  <c r="Q64" i="48" s="1"/>
  <c r="O60" i="48"/>
  <c r="P60" i="48" s="1"/>
  <c r="Q60" i="48" s="1"/>
  <c r="O76" i="48"/>
  <c r="P76" i="48" s="1"/>
  <c r="Q76" i="48" s="1"/>
  <c r="O75" i="48"/>
  <c r="P75" i="48" s="1"/>
  <c r="Q75" i="48" s="1"/>
  <c r="O59" i="48"/>
  <c r="P59" i="48" s="1"/>
  <c r="Q59" i="48" s="1"/>
  <c r="B35" i="48"/>
  <c r="B46" i="48"/>
  <c r="B47" i="48"/>
  <c r="I50" i="48"/>
  <c r="K50" i="48" s="1"/>
  <c r="L50" i="48" s="1"/>
  <c r="B29" i="48"/>
  <c r="H53" i="48" s="1"/>
  <c r="O86" i="48"/>
  <c r="P86" i="48" s="1"/>
  <c r="Q86" i="48" s="1"/>
  <c r="O82" i="48"/>
  <c r="P82" i="48" s="1"/>
  <c r="Q82" i="48" s="1"/>
  <c r="O78" i="48"/>
  <c r="P78" i="48" s="1"/>
  <c r="Q78" i="48" s="1"/>
  <c r="O74" i="48"/>
  <c r="P74" i="48" s="1"/>
  <c r="Q74" i="48" s="1"/>
  <c r="O70" i="48"/>
  <c r="P70" i="48" s="1"/>
  <c r="Q70" i="48" s="1"/>
  <c r="O66" i="48"/>
  <c r="P66" i="48" s="1"/>
  <c r="Q66" i="48" s="1"/>
  <c r="O62" i="48"/>
  <c r="P62" i="48" s="1"/>
  <c r="Q62" i="48" s="1"/>
  <c r="O58" i="48"/>
  <c r="P58" i="48" s="1"/>
  <c r="Q58" i="48" s="1"/>
  <c r="O54" i="48"/>
  <c r="P54" i="48" s="1"/>
  <c r="Q54" i="48" s="1"/>
  <c r="O50" i="48"/>
  <c r="P50" i="48" s="1"/>
  <c r="Q50" i="48" s="1"/>
  <c r="O89" i="48"/>
  <c r="P89" i="48" s="1"/>
  <c r="Q89" i="48" s="1"/>
  <c r="O85" i="48"/>
  <c r="P85" i="48" s="1"/>
  <c r="Q85" i="48" s="1"/>
  <c r="O81" i="48"/>
  <c r="P81" i="48" s="1"/>
  <c r="Q81" i="48" s="1"/>
  <c r="O77" i="48"/>
  <c r="P77" i="48" s="1"/>
  <c r="Q77" i="48" s="1"/>
  <c r="O73" i="48"/>
  <c r="P73" i="48" s="1"/>
  <c r="Q73" i="48" s="1"/>
  <c r="O69" i="48"/>
  <c r="P69" i="48" s="1"/>
  <c r="Q69" i="48" s="1"/>
  <c r="O65" i="48"/>
  <c r="P65" i="48" s="1"/>
  <c r="Q65" i="48" s="1"/>
  <c r="O61" i="48"/>
  <c r="P61" i="48" s="1"/>
  <c r="Q61" i="48" s="1"/>
  <c r="O57" i="48"/>
  <c r="P57" i="48" s="1"/>
  <c r="Q57" i="48" s="1"/>
  <c r="O53" i="48"/>
  <c r="P53" i="48" s="1"/>
  <c r="Q53" i="48" s="1"/>
  <c r="D21" i="48"/>
  <c r="F20" i="36" s="1"/>
  <c r="P80" i="48"/>
  <c r="Q80" i="48" s="1"/>
  <c r="P79" i="48"/>
  <c r="Q79" i="48" s="1"/>
  <c r="J51" i="47"/>
  <c r="I52" i="47" s="1"/>
  <c r="K52" i="47" s="1"/>
  <c r="L52" i="47" s="1"/>
  <c r="U52" i="47" s="1"/>
  <c r="K22" i="34"/>
  <c r="B22" i="48" l="1"/>
  <c r="I4" i="46"/>
  <c r="V52" i="47"/>
  <c r="Z52" i="47"/>
  <c r="H64" i="48"/>
  <c r="H80" i="48"/>
  <c r="H60" i="48"/>
  <c r="H68" i="48"/>
  <c r="H88" i="48"/>
  <c r="H56" i="48"/>
  <c r="H84" i="48"/>
  <c r="H52" i="48"/>
  <c r="H76" i="48"/>
  <c r="H72" i="48"/>
  <c r="H87" i="48"/>
  <c r="H83" i="48"/>
  <c r="H79" i="48"/>
  <c r="H75" i="48"/>
  <c r="H71" i="48"/>
  <c r="H67" i="48"/>
  <c r="H63" i="48"/>
  <c r="H59" i="48"/>
  <c r="H55" i="48"/>
  <c r="H51" i="48"/>
  <c r="H86" i="48"/>
  <c r="H82" i="48"/>
  <c r="H78" i="48"/>
  <c r="H74" i="48"/>
  <c r="H70" i="48"/>
  <c r="H66" i="48"/>
  <c r="H62" i="48"/>
  <c r="H58" i="48"/>
  <c r="H54" i="48"/>
  <c r="H50" i="48"/>
  <c r="J50" i="48" s="1"/>
  <c r="I51" i="48" s="1"/>
  <c r="K51" i="48" s="1"/>
  <c r="L51" i="48" s="1"/>
  <c r="H89" i="48"/>
  <c r="H85" i="48"/>
  <c r="H81" i="48"/>
  <c r="H77" i="48"/>
  <c r="H73" i="48"/>
  <c r="H69" i="48"/>
  <c r="H65" i="48"/>
  <c r="H61" i="48"/>
  <c r="H57" i="48"/>
  <c r="J52" i="47"/>
  <c r="I53" i="47" s="1"/>
  <c r="K53" i="47" s="1"/>
  <c r="L53" i="47" s="1"/>
  <c r="U53" i="47" s="1"/>
  <c r="G128" i="34"/>
  <c r="G132" i="34"/>
  <c r="G136" i="34"/>
  <c r="G140" i="34"/>
  <c r="G144" i="34"/>
  <c r="G148" i="34"/>
  <c r="G152" i="34"/>
  <c r="G156" i="34"/>
  <c r="G160" i="34"/>
  <c r="G164" i="34"/>
  <c r="G168" i="34"/>
  <c r="G172" i="34"/>
  <c r="G176" i="34"/>
  <c r="G180" i="34"/>
  <c r="G184" i="34"/>
  <c r="G188" i="34"/>
  <c r="G192" i="34"/>
  <c r="G196" i="34"/>
  <c r="G200" i="34"/>
  <c r="G204" i="34"/>
  <c r="G208" i="34"/>
  <c r="G212" i="34"/>
  <c r="G216" i="34"/>
  <c r="G220" i="34"/>
  <c r="G224" i="34"/>
  <c r="G228" i="34"/>
  <c r="G232" i="34"/>
  <c r="G236" i="34"/>
  <c r="G240" i="34"/>
  <c r="G244" i="34"/>
  <c r="G248" i="34"/>
  <c r="G252" i="34"/>
  <c r="G256" i="34"/>
  <c r="G260" i="34"/>
  <c r="G264" i="34"/>
  <c r="G268" i="34"/>
  <c r="G272" i="34"/>
  <c r="G276" i="34"/>
  <c r="G280" i="34"/>
  <c r="G284" i="34"/>
  <c r="G288" i="34"/>
  <c r="G292" i="34"/>
  <c r="G296" i="34"/>
  <c r="G257" i="34"/>
  <c r="G265" i="34"/>
  <c r="G273" i="34"/>
  <c r="G281" i="34"/>
  <c r="G289" i="34"/>
  <c r="G293" i="34"/>
  <c r="G291" i="34"/>
  <c r="G129" i="34"/>
  <c r="G133" i="34"/>
  <c r="G137" i="34"/>
  <c r="G141" i="34"/>
  <c r="G145" i="34"/>
  <c r="G149" i="34"/>
  <c r="G153" i="34"/>
  <c r="G157" i="34"/>
  <c r="G161" i="34"/>
  <c r="G165" i="34"/>
  <c r="G169" i="34"/>
  <c r="G173" i="34"/>
  <c r="G177" i="34"/>
  <c r="G181" i="34"/>
  <c r="G185" i="34"/>
  <c r="G189" i="34"/>
  <c r="G193" i="34"/>
  <c r="G197" i="34"/>
  <c r="G201" i="34"/>
  <c r="G205" i="34"/>
  <c r="G209" i="34"/>
  <c r="G213" i="34"/>
  <c r="G217" i="34"/>
  <c r="G221" i="34"/>
  <c r="G225" i="34"/>
  <c r="G229" i="34"/>
  <c r="G233" i="34"/>
  <c r="G237" i="34"/>
  <c r="G241" i="34"/>
  <c r="G245" i="34"/>
  <c r="G249" i="34"/>
  <c r="G253" i="34"/>
  <c r="G261" i="34"/>
  <c r="G269" i="34"/>
  <c r="G277" i="34"/>
  <c r="G285" i="34"/>
  <c r="G297" i="34"/>
  <c r="G295" i="34"/>
  <c r="G130" i="34"/>
  <c r="G134" i="34"/>
  <c r="G138" i="34"/>
  <c r="G142" i="34"/>
  <c r="G146" i="34"/>
  <c r="G150" i="34"/>
  <c r="G154" i="34"/>
  <c r="G158" i="34"/>
  <c r="G162" i="34"/>
  <c r="G166" i="34"/>
  <c r="G170" i="34"/>
  <c r="G174" i="34"/>
  <c r="G178" i="34"/>
  <c r="G182" i="34"/>
  <c r="G186" i="34"/>
  <c r="G190" i="34"/>
  <c r="G194" i="34"/>
  <c r="G198" i="34"/>
  <c r="G202" i="34"/>
  <c r="G206" i="34"/>
  <c r="G210" i="34"/>
  <c r="G214" i="34"/>
  <c r="G218" i="34"/>
  <c r="G222" i="34"/>
  <c r="G226" i="34"/>
  <c r="G230" i="34"/>
  <c r="G234" i="34"/>
  <c r="G238" i="34"/>
  <c r="G242" i="34"/>
  <c r="G246" i="34"/>
  <c r="G250" i="34"/>
  <c r="G254" i="34"/>
  <c r="G258" i="34"/>
  <c r="G262" i="34"/>
  <c r="G266" i="34"/>
  <c r="G270" i="34"/>
  <c r="G274" i="34"/>
  <c r="G278" i="34"/>
  <c r="G282" i="34"/>
  <c r="G286" i="34"/>
  <c r="G290" i="34"/>
  <c r="G294" i="34"/>
  <c r="G131" i="34"/>
  <c r="G135" i="34"/>
  <c r="G139" i="34"/>
  <c r="G143" i="34"/>
  <c r="G147" i="34"/>
  <c r="G151" i="34"/>
  <c r="G155" i="34"/>
  <c r="G159" i="34"/>
  <c r="G163" i="34"/>
  <c r="G167" i="34"/>
  <c r="G171" i="34"/>
  <c r="G175" i="34"/>
  <c r="G179" i="34"/>
  <c r="G183" i="34"/>
  <c r="G187" i="34"/>
  <c r="G191" i="34"/>
  <c r="G195" i="34"/>
  <c r="G199" i="34"/>
  <c r="G203" i="34"/>
  <c r="G207" i="34"/>
  <c r="G211" i="34"/>
  <c r="G215" i="34"/>
  <c r="G219" i="34"/>
  <c r="G223" i="34"/>
  <c r="G227" i="34"/>
  <c r="G231" i="34"/>
  <c r="G235" i="34"/>
  <c r="G239" i="34"/>
  <c r="G243" i="34"/>
  <c r="G247" i="34"/>
  <c r="G251" i="34"/>
  <c r="G255" i="34"/>
  <c r="G259" i="34"/>
  <c r="G263" i="34"/>
  <c r="G267" i="34"/>
  <c r="G271" i="34"/>
  <c r="G275" i="34"/>
  <c r="G279" i="34"/>
  <c r="G283" i="34"/>
  <c r="G287" i="34"/>
  <c r="G120" i="34"/>
  <c r="G124" i="34"/>
  <c r="G118" i="34"/>
  <c r="G126" i="34"/>
  <c r="G123" i="34"/>
  <c r="G127" i="34"/>
  <c r="G121" i="34"/>
  <c r="G125" i="34"/>
  <c r="G119" i="34"/>
  <c r="G122" i="34"/>
  <c r="G70" i="34"/>
  <c r="G86" i="34"/>
  <c r="G109" i="34"/>
  <c r="G98" i="34"/>
  <c r="G5" i="34"/>
  <c r="G54" i="34"/>
  <c r="G38" i="34"/>
  <c r="G22" i="34"/>
  <c r="G116" i="34"/>
  <c r="G94" i="34"/>
  <c r="G64" i="34"/>
  <c r="G16" i="34"/>
  <c r="G114" i="34"/>
  <c r="G104" i="34"/>
  <c r="G93" i="34"/>
  <c r="G78" i="34"/>
  <c r="G62" i="34"/>
  <c r="G46" i="34"/>
  <c r="G30" i="34"/>
  <c r="G8" i="34"/>
  <c r="G105" i="34"/>
  <c r="G80" i="34"/>
  <c r="G48" i="34"/>
  <c r="G32" i="34"/>
  <c r="G110" i="34"/>
  <c r="G100" i="34"/>
  <c r="G88" i="34"/>
  <c r="G72" i="34"/>
  <c r="G56" i="34"/>
  <c r="G40" i="34"/>
  <c r="G24" i="34"/>
  <c r="G113" i="34"/>
  <c r="G108" i="34"/>
  <c r="G102" i="34"/>
  <c r="G97" i="34"/>
  <c r="G92" i="34"/>
  <c r="G84" i="34"/>
  <c r="G76" i="34"/>
  <c r="G68" i="34"/>
  <c r="G60" i="34"/>
  <c r="G52" i="34"/>
  <c r="G44" i="34"/>
  <c r="G36" i="34"/>
  <c r="G28" i="34"/>
  <c r="G20" i="34"/>
  <c r="G12" i="34"/>
  <c r="G4" i="34"/>
  <c r="G14" i="34"/>
  <c r="G6" i="34"/>
  <c r="G117" i="34"/>
  <c r="G112" i="34"/>
  <c r="G106" i="34"/>
  <c r="G101" i="34"/>
  <c r="G96" i="34"/>
  <c r="G90" i="34"/>
  <c r="G82" i="34"/>
  <c r="G74" i="34"/>
  <c r="G66" i="34"/>
  <c r="G58" i="34"/>
  <c r="G50" i="34"/>
  <c r="G42" i="34"/>
  <c r="G34" i="34"/>
  <c r="G26" i="34"/>
  <c r="G18" i="34"/>
  <c r="G10" i="34"/>
  <c r="G115" i="34"/>
  <c r="G111" i="34"/>
  <c r="G107" i="34"/>
  <c r="G103" i="34"/>
  <c r="G99" i="34"/>
  <c r="G95" i="34"/>
  <c r="G91" i="34"/>
  <c r="G87" i="34"/>
  <c r="G83" i="34"/>
  <c r="G79" i="34"/>
  <c r="G75" i="34"/>
  <c r="G71" i="34"/>
  <c r="G67" i="34"/>
  <c r="G63" i="34"/>
  <c r="G59" i="34"/>
  <c r="G55" i="34"/>
  <c r="G51" i="34"/>
  <c r="G47" i="34"/>
  <c r="G43" i="34"/>
  <c r="G39" i="34"/>
  <c r="G35" i="34"/>
  <c r="G31" i="34"/>
  <c r="G27" i="34"/>
  <c r="G23" i="34"/>
  <c r="G19" i="34"/>
  <c r="G15" i="34"/>
  <c r="G11" i="34"/>
  <c r="G7" i="34"/>
  <c r="G3" i="34"/>
  <c r="G89" i="34"/>
  <c r="G85" i="34"/>
  <c r="G81" i="34"/>
  <c r="G77" i="34"/>
  <c r="G73" i="34"/>
  <c r="G69" i="34"/>
  <c r="G65" i="34"/>
  <c r="G61" i="34"/>
  <c r="G57" i="34"/>
  <c r="G53" i="34"/>
  <c r="G49" i="34"/>
  <c r="G45" i="34"/>
  <c r="G41" i="34"/>
  <c r="G37" i="34"/>
  <c r="G33" i="34"/>
  <c r="G29" i="34"/>
  <c r="G25" i="34"/>
  <c r="G21" i="34"/>
  <c r="G17" i="34"/>
  <c r="K23" i="34" s="1"/>
  <c r="G13" i="34"/>
  <c r="G9" i="34"/>
  <c r="I7" i="46" l="1"/>
  <c r="F22" i="36" s="1"/>
  <c r="R52" i="48"/>
  <c r="S52" i="48" s="1"/>
  <c r="T52" i="48" s="1"/>
  <c r="R56" i="48"/>
  <c r="S56" i="48" s="1"/>
  <c r="T56" i="48" s="1"/>
  <c r="R60" i="48"/>
  <c r="S60" i="48" s="1"/>
  <c r="T60" i="48" s="1"/>
  <c r="R64" i="48"/>
  <c r="S64" i="48" s="1"/>
  <c r="T64" i="48" s="1"/>
  <c r="R68" i="48"/>
  <c r="S68" i="48" s="1"/>
  <c r="T68" i="48" s="1"/>
  <c r="R72" i="48"/>
  <c r="S72" i="48" s="1"/>
  <c r="T72" i="48" s="1"/>
  <c r="R76" i="48"/>
  <c r="S76" i="48" s="1"/>
  <c r="T76" i="48" s="1"/>
  <c r="R80" i="48"/>
  <c r="S80" i="48" s="1"/>
  <c r="T80" i="48" s="1"/>
  <c r="R84" i="48"/>
  <c r="S84" i="48" s="1"/>
  <c r="T84" i="48" s="1"/>
  <c r="R88" i="48"/>
  <c r="S88" i="48" s="1"/>
  <c r="T88" i="48" s="1"/>
  <c r="R63" i="48"/>
  <c r="S63" i="48" s="1"/>
  <c r="T63" i="48" s="1"/>
  <c r="R79" i="48"/>
  <c r="S79" i="48" s="1"/>
  <c r="T79" i="48" s="1"/>
  <c r="R53" i="48"/>
  <c r="S53" i="48" s="1"/>
  <c r="T53" i="48" s="1"/>
  <c r="R57" i="48"/>
  <c r="S57" i="48" s="1"/>
  <c r="T57" i="48" s="1"/>
  <c r="R61" i="48"/>
  <c r="S61" i="48" s="1"/>
  <c r="T61" i="48" s="1"/>
  <c r="R65" i="48"/>
  <c r="S65" i="48" s="1"/>
  <c r="T65" i="48" s="1"/>
  <c r="R69" i="48"/>
  <c r="S69" i="48" s="1"/>
  <c r="T69" i="48" s="1"/>
  <c r="R73" i="48"/>
  <c r="S73" i="48" s="1"/>
  <c r="T73" i="48" s="1"/>
  <c r="R77" i="48"/>
  <c r="S77" i="48" s="1"/>
  <c r="T77" i="48" s="1"/>
  <c r="R81" i="48"/>
  <c r="S81" i="48" s="1"/>
  <c r="T81" i="48" s="1"/>
  <c r="R85" i="48"/>
  <c r="S85" i="48" s="1"/>
  <c r="T85" i="48" s="1"/>
  <c r="R89" i="48"/>
  <c r="S89" i="48" s="1"/>
  <c r="T89" i="48" s="1"/>
  <c r="R86" i="48"/>
  <c r="S86" i="48" s="1"/>
  <c r="T86" i="48" s="1"/>
  <c r="R83" i="48"/>
  <c r="S83" i="48" s="1"/>
  <c r="T83" i="48" s="1"/>
  <c r="R50" i="48"/>
  <c r="S50" i="48" s="1"/>
  <c r="T50" i="48" s="1"/>
  <c r="U50" i="48" s="1"/>
  <c r="R54" i="48"/>
  <c r="S54" i="48" s="1"/>
  <c r="T54" i="48" s="1"/>
  <c r="R58" i="48"/>
  <c r="S58" i="48" s="1"/>
  <c r="T58" i="48" s="1"/>
  <c r="R62" i="48"/>
  <c r="S62" i="48" s="1"/>
  <c r="T62" i="48" s="1"/>
  <c r="R66" i="48"/>
  <c r="S66" i="48" s="1"/>
  <c r="T66" i="48" s="1"/>
  <c r="R70" i="48"/>
  <c r="S70" i="48" s="1"/>
  <c r="T70" i="48" s="1"/>
  <c r="R74" i="48"/>
  <c r="S74" i="48" s="1"/>
  <c r="T74" i="48" s="1"/>
  <c r="R78" i="48"/>
  <c r="S78" i="48" s="1"/>
  <c r="T78" i="48" s="1"/>
  <c r="R82" i="48"/>
  <c r="S82" i="48" s="1"/>
  <c r="T82" i="48" s="1"/>
  <c r="R75" i="48"/>
  <c r="S75" i="48" s="1"/>
  <c r="T75" i="48" s="1"/>
  <c r="R51" i="48"/>
  <c r="S51" i="48" s="1"/>
  <c r="T51" i="48" s="1"/>
  <c r="U51" i="48" s="1"/>
  <c r="R55" i="48"/>
  <c r="S55" i="48" s="1"/>
  <c r="T55" i="48" s="1"/>
  <c r="R59" i="48"/>
  <c r="S59" i="48" s="1"/>
  <c r="T59" i="48" s="1"/>
  <c r="R67" i="48"/>
  <c r="S67" i="48" s="1"/>
  <c r="T67" i="48" s="1"/>
  <c r="R71" i="48"/>
  <c r="S71" i="48" s="1"/>
  <c r="T71" i="48" s="1"/>
  <c r="R87" i="48"/>
  <c r="S87" i="48" s="1"/>
  <c r="T87" i="48" s="1"/>
  <c r="V53" i="47"/>
  <c r="Z53" i="47"/>
  <c r="J51" i="48"/>
  <c r="I52" i="48" s="1"/>
  <c r="J53" i="47"/>
  <c r="I54" i="47" s="1"/>
  <c r="K54" i="47" s="1"/>
  <c r="G7" i="36"/>
  <c r="G9" i="36"/>
  <c r="G11" i="36"/>
  <c r="G12" i="36"/>
  <c r="G13" i="36"/>
  <c r="G6" i="36"/>
  <c r="H17" i="13"/>
  <c r="H19" i="13" s="1"/>
  <c r="F15" i="42"/>
  <c r="F16" i="42"/>
  <c r="H16" i="42" s="1"/>
  <c r="F17" i="42"/>
  <c r="F18" i="42"/>
  <c r="F14" i="42"/>
  <c r="F2" i="42"/>
  <c r="B15" i="42"/>
  <c r="B16" i="42"/>
  <c r="D16" i="42" s="1"/>
  <c r="B17" i="42"/>
  <c r="B18" i="42"/>
  <c r="B14" i="42"/>
  <c r="D14" i="42" s="1"/>
  <c r="B2" i="42"/>
  <c r="F1" i="42"/>
  <c r="F19" i="42" s="1"/>
  <c r="B1" i="42"/>
  <c r="B19" i="42" s="1"/>
  <c r="H19" i="43"/>
  <c r="H21" i="43" s="1"/>
  <c r="F4" i="42" s="1"/>
  <c r="H18" i="43"/>
  <c r="H12" i="43"/>
  <c r="H11" i="43"/>
  <c r="H6" i="43"/>
  <c r="H4" i="43"/>
  <c r="A93" i="42"/>
  <c r="A50" i="42"/>
  <c r="A51" i="42" s="1"/>
  <c r="H14" i="42"/>
  <c r="F13" i="42"/>
  <c r="B13" i="42"/>
  <c r="F12" i="42"/>
  <c r="B12" i="42"/>
  <c r="B42" i="42" s="1"/>
  <c r="F11" i="42"/>
  <c r="B11" i="42"/>
  <c r="F10" i="42"/>
  <c r="B10" i="42"/>
  <c r="F9" i="42"/>
  <c r="B9" i="42"/>
  <c r="F8" i="42"/>
  <c r="F29" i="42" s="1"/>
  <c r="B8" i="42"/>
  <c r="F7" i="42"/>
  <c r="B7" i="42"/>
  <c r="F6" i="42"/>
  <c r="C93" i="42" s="1"/>
  <c r="B6" i="42"/>
  <c r="F5" i="42"/>
  <c r="B5" i="42"/>
  <c r="B20" i="36"/>
  <c r="B22" i="36"/>
  <c r="B27" i="36"/>
  <c r="B28" i="36"/>
  <c r="D6" i="36"/>
  <c r="C9" i="36"/>
  <c r="C11" i="36"/>
  <c r="C12" i="36"/>
  <c r="C13" i="36"/>
  <c r="C6" i="36"/>
  <c r="C7" i="36"/>
  <c r="B9" i="36"/>
  <c r="B11" i="36"/>
  <c r="B12" i="36"/>
  <c r="B13" i="36"/>
  <c r="B7" i="36"/>
  <c r="H5" i="25"/>
  <c r="H7" i="25"/>
  <c r="H12" i="25"/>
  <c r="H13" i="25"/>
  <c r="H4" i="24"/>
  <c r="H6" i="24"/>
  <c r="H11" i="24"/>
  <c r="H12" i="24"/>
  <c r="B19" i="14"/>
  <c r="B18" i="14"/>
  <c r="B17" i="14"/>
  <c r="B14" i="14"/>
  <c r="B13" i="14"/>
  <c r="H16" i="13"/>
  <c r="B3" i="14"/>
  <c r="B4" i="14" s="1"/>
  <c r="C5" i="13" s="1"/>
  <c r="B13" i="13" s="1"/>
  <c r="B17" i="36" s="1"/>
  <c r="I7" i="25"/>
  <c r="D22" i="36" s="1"/>
  <c r="I5" i="25"/>
  <c r="D20" i="36" s="1"/>
  <c r="F16" i="41"/>
  <c r="H16" i="41" s="1"/>
  <c r="F17" i="41"/>
  <c r="F14" i="41"/>
  <c r="H14" i="41" s="1"/>
  <c r="F2" i="41"/>
  <c r="B17" i="41"/>
  <c r="B18" i="41"/>
  <c r="B16" i="41"/>
  <c r="B15" i="41"/>
  <c r="B14" i="41"/>
  <c r="D14" i="41" s="1"/>
  <c r="B14" i="32"/>
  <c r="B2" i="41"/>
  <c r="F1" i="32"/>
  <c r="F19" i="32" s="1"/>
  <c r="B1" i="32"/>
  <c r="B19" i="32" s="1"/>
  <c r="F1" i="41"/>
  <c r="F19" i="41" s="1"/>
  <c r="B1" i="41"/>
  <c r="B19" i="41" s="1"/>
  <c r="A94" i="41"/>
  <c r="A93" i="41"/>
  <c r="A50" i="41"/>
  <c r="F13" i="41"/>
  <c r="B13" i="41"/>
  <c r="F12" i="41"/>
  <c r="E93" i="41" s="1"/>
  <c r="B12" i="41"/>
  <c r="B42" i="41" s="1"/>
  <c r="F11" i="41"/>
  <c r="B11" i="41"/>
  <c r="F10" i="41"/>
  <c r="B10" i="41"/>
  <c r="F9" i="41"/>
  <c r="B9" i="41"/>
  <c r="F8" i="41"/>
  <c r="B94" i="41" s="1"/>
  <c r="B8" i="41"/>
  <c r="F7" i="41"/>
  <c r="B7" i="41"/>
  <c r="F6" i="41"/>
  <c r="C93" i="41" s="1"/>
  <c r="B6" i="41"/>
  <c r="C50" i="41" s="1"/>
  <c r="F5" i="41"/>
  <c r="B5" i="41"/>
  <c r="H16" i="24"/>
  <c r="H21" i="24"/>
  <c r="H23" i="24" s="1"/>
  <c r="H15" i="24"/>
  <c r="F18" i="41"/>
  <c r="F15" i="41"/>
  <c r="B13" i="32"/>
  <c r="F13" i="32"/>
  <c r="B4" i="42" l="1"/>
  <c r="C23" i="43"/>
  <c r="C9" i="43"/>
  <c r="B43" i="42"/>
  <c r="V50" i="48"/>
  <c r="Z50" i="48"/>
  <c r="V51" i="48"/>
  <c r="Z51" i="48"/>
  <c r="H18" i="24"/>
  <c r="C6" i="24" s="1"/>
  <c r="B43" i="41"/>
  <c r="K52" i="48"/>
  <c r="L52" i="48" s="1"/>
  <c r="U52" i="48" s="1"/>
  <c r="L54" i="47"/>
  <c r="U54" i="47" s="1"/>
  <c r="J54" i="47"/>
  <c r="I55" i="47" s="1"/>
  <c r="K55" i="47" s="1"/>
  <c r="L55" i="47" s="1"/>
  <c r="U55" i="47" s="1"/>
  <c r="G8" i="36"/>
  <c r="A47" i="42"/>
  <c r="A90" i="42"/>
  <c r="A47" i="41"/>
  <c r="B27" i="42"/>
  <c r="B27" i="41"/>
  <c r="E50" i="41"/>
  <c r="F27" i="42"/>
  <c r="F29" i="41"/>
  <c r="B8" i="36"/>
  <c r="F23" i="41"/>
  <c r="A52" i="42"/>
  <c r="B52" i="42" s="1"/>
  <c r="D51" i="42"/>
  <c r="E51" i="42"/>
  <c r="C51" i="42"/>
  <c r="J27" i="42"/>
  <c r="F23" i="42"/>
  <c r="B93" i="42"/>
  <c r="B92" i="42"/>
  <c r="B29" i="42"/>
  <c r="F30" i="42"/>
  <c r="F31" i="42" s="1"/>
  <c r="C50" i="42"/>
  <c r="B30" i="42"/>
  <c r="B51" i="42"/>
  <c r="D50" i="42"/>
  <c r="B50" i="42"/>
  <c r="B49" i="42"/>
  <c r="E50" i="42"/>
  <c r="E93" i="42"/>
  <c r="D93" i="42"/>
  <c r="A94" i="42"/>
  <c r="B94" i="42" s="1"/>
  <c r="B24" i="14"/>
  <c r="D16" i="41"/>
  <c r="B23" i="42"/>
  <c r="M50" i="42" s="1"/>
  <c r="A51" i="41"/>
  <c r="D50" i="41"/>
  <c r="E94" i="41"/>
  <c r="F27" i="41"/>
  <c r="B30" i="41"/>
  <c r="B50" i="41"/>
  <c r="B92" i="41"/>
  <c r="B93" i="41"/>
  <c r="B29" i="41"/>
  <c r="F30" i="41"/>
  <c r="F31" i="41" s="1"/>
  <c r="B49" i="41"/>
  <c r="D93" i="41"/>
  <c r="C94" i="41"/>
  <c r="A95" i="41"/>
  <c r="D94" i="41"/>
  <c r="F4" i="32"/>
  <c r="F2" i="32"/>
  <c r="D14" i="32"/>
  <c r="B11" i="32"/>
  <c r="B12" i="32"/>
  <c r="B10" i="32"/>
  <c r="B6" i="32"/>
  <c r="B7" i="32"/>
  <c r="B8" i="32"/>
  <c r="B9" i="32"/>
  <c r="B5" i="32"/>
  <c r="A93" i="32"/>
  <c r="F10" i="32"/>
  <c r="F12" i="32"/>
  <c r="F11" i="32"/>
  <c r="F9" i="32"/>
  <c r="F8" i="32"/>
  <c r="F7" i="32"/>
  <c r="F6" i="32"/>
  <c r="F5" i="32"/>
  <c r="V54" i="47" l="1"/>
  <c r="Z54" i="47"/>
  <c r="V55" i="47"/>
  <c r="Z55" i="47"/>
  <c r="V52" i="48"/>
  <c r="Z52" i="48"/>
  <c r="B4" i="41"/>
  <c r="C9" i="24"/>
  <c r="B27" i="32"/>
  <c r="J52" i="48"/>
  <c r="I53" i="48" s="1"/>
  <c r="K53" i="48" s="1"/>
  <c r="L53" i="48" s="1"/>
  <c r="U53" i="48" s="1"/>
  <c r="J55" i="47"/>
  <c r="I56" i="47" s="1"/>
  <c r="F24" i="41"/>
  <c r="F34" i="41" s="1"/>
  <c r="B30" i="32"/>
  <c r="B31" i="32" s="1"/>
  <c r="B29" i="32"/>
  <c r="J29" i="42"/>
  <c r="B32" i="42"/>
  <c r="B25" i="42"/>
  <c r="B26" i="42" s="1"/>
  <c r="J23" i="42"/>
  <c r="M93" i="42"/>
  <c r="M51" i="42"/>
  <c r="B24" i="42"/>
  <c r="A95" i="42"/>
  <c r="D94" i="42"/>
  <c r="C94" i="42"/>
  <c r="E94" i="42"/>
  <c r="N50" i="42"/>
  <c r="B31" i="42"/>
  <c r="J30" i="42"/>
  <c r="F32" i="42"/>
  <c r="F25" i="42"/>
  <c r="F26" i="42" s="1"/>
  <c r="U92" i="42" s="1"/>
  <c r="F24" i="42"/>
  <c r="F34" i="42" s="1"/>
  <c r="E52" i="42"/>
  <c r="D52" i="42"/>
  <c r="A53" i="42"/>
  <c r="C52" i="42"/>
  <c r="C24" i="24"/>
  <c r="C8" i="36"/>
  <c r="M93" i="41"/>
  <c r="N93" i="41" s="1"/>
  <c r="F32" i="41"/>
  <c r="F94" i="41" s="1"/>
  <c r="G94" i="41" s="1"/>
  <c r="M94" i="41"/>
  <c r="N94" i="41" s="1"/>
  <c r="F25" i="41"/>
  <c r="I93" i="41" s="1"/>
  <c r="K93" i="41" s="1"/>
  <c r="L93" i="41" s="1"/>
  <c r="D95" i="41"/>
  <c r="A96" i="41"/>
  <c r="C95" i="41"/>
  <c r="E95" i="41"/>
  <c r="B31" i="41"/>
  <c r="J30" i="41"/>
  <c r="E51" i="41"/>
  <c r="A52" i="41"/>
  <c r="C51" i="41"/>
  <c r="D51" i="41"/>
  <c r="B51" i="41"/>
  <c r="J29" i="41"/>
  <c r="B95" i="41"/>
  <c r="J27" i="41"/>
  <c r="F29" i="32"/>
  <c r="F27" i="32"/>
  <c r="F30" i="32"/>
  <c r="F31" i="32" s="1"/>
  <c r="E93" i="32"/>
  <c r="B92" i="32"/>
  <c r="B93" i="32"/>
  <c r="C93" i="32"/>
  <c r="A94" i="32"/>
  <c r="D93" i="32"/>
  <c r="V53" i="48" l="1"/>
  <c r="Z53" i="48"/>
  <c r="J53" i="48"/>
  <c r="I54" i="48" s="1"/>
  <c r="K54" i="48" s="1"/>
  <c r="L54" i="48" s="1"/>
  <c r="U54" i="48" s="1"/>
  <c r="K56" i="47"/>
  <c r="L56" i="47" s="1"/>
  <c r="U56" i="47" s="1"/>
  <c r="B23" i="41"/>
  <c r="J23" i="41" s="1"/>
  <c r="V92" i="42"/>
  <c r="W49" i="42"/>
  <c r="AC49" i="42" s="1"/>
  <c r="F94" i="42"/>
  <c r="G94" i="42" s="1"/>
  <c r="F93" i="42"/>
  <c r="G93" i="42" s="1"/>
  <c r="J24" i="42"/>
  <c r="B34" i="42"/>
  <c r="J34" i="42" s="1"/>
  <c r="N51" i="42"/>
  <c r="J31" i="42"/>
  <c r="F52" i="42"/>
  <c r="G52" i="42" s="1"/>
  <c r="F51" i="42"/>
  <c r="G51" i="42" s="1"/>
  <c r="F50" i="42"/>
  <c r="G50" i="42" s="1"/>
  <c r="J32" i="42"/>
  <c r="D53" i="42"/>
  <c r="F53" i="42" s="1"/>
  <c r="G53" i="42" s="1"/>
  <c r="C53" i="42"/>
  <c r="A54" i="42"/>
  <c r="E53" i="42"/>
  <c r="B53" i="42"/>
  <c r="E95" i="42"/>
  <c r="A96" i="42"/>
  <c r="D95" i="42"/>
  <c r="F95" i="42" s="1"/>
  <c r="G95" i="42" s="1"/>
  <c r="C95" i="42"/>
  <c r="B95" i="42"/>
  <c r="N93" i="42"/>
  <c r="I50" i="42"/>
  <c r="J25" i="42"/>
  <c r="B28" i="42"/>
  <c r="M52" i="42"/>
  <c r="I93" i="42"/>
  <c r="F28" i="42"/>
  <c r="M94" i="42"/>
  <c r="J26" i="42"/>
  <c r="U49" i="42"/>
  <c r="AB49" i="42" s="1"/>
  <c r="F93" i="41"/>
  <c r="G93" i="41" s="1"/>
  <c r="F26" i="41"/>
  <c r="U92" i="41" s="1"/>
  <c r="W49" i="41" s="1"/>
  <c r="AC49" i="41" s="1"/>
  <c r="F95" i="41"/>
  <c r="G95" i="41" s="1"/>
  <c r="F28" i="41"/>
  <c r="H93" i="41" s="1"/>
  <c r="J93" i="41" s="1"/>
  <c r="I94" i="41" s="1"/>
  <c r="J31" i="41"/>
  <c r="A53" i="41"/>
  <c r="E52" i="41"/>
  <c r="D52" i="41"/>
  <c r="C52" i="41"/>
  <c r="B52" i="41"/>
  <c r="M95" i="41"/>
  <c r="D96" i="41"/>
  <c r="F96" i="41" s="1"/>
  <c r="G96" i="41" s="1"/>
  <c r="E96" i="41"/>
  <c r="A97" i="41"/>
  <c r="C96" i="41"/>
  <c r="B96" i="41"/>
  <c r="D94" i="32"/>
  <c r="E94" i="32"/>
  <c r="C94" i="32"/>
  <c r="A95" i="32"/>
  <c r="B94" i="32"/>
  <c r="V56" i="47" l="1"/>
  <c r="Z56" i="47"/>
  <c r="V54" i="48"/>
  <c r="Z54" i="48"/>
  <c r="J54" i="48"/>
  <c r="I55" i="48" s="1"/>
  <c r="K55" i="48" s="1"/>
  <c r="L55" i="48" s="1"/>
  <c r="U55" i="48" s="1"/>
  <c r="J56" i="47"/>
  <c r="I57" i="47" s="1"/>
  <c r="H94" i="41"/>
  <c r="B25" i="41"/>
  <c r="B28" i="41" s="1"/>
  <c r="H50" i="41" s="1"/>
  <c r="B32" i="41"/>
  <c r="F52" i="41" s="1"/>
  <c r="G52" i="41" s="1"/>
  <c r="B24" i="41"/>
  <c r="B34" i="41" s="1"/>
  <c r="J34" i="41" s="1"/>
  <c r="M50" i="41"/>
  <c r="N50" i="41" s="1"/>
  <c r="M51" i="41"/>
  <c r="N51" i="41" s="1"/>
  <c r="N94" i="42"/>
  <c r="H94" i="42"/>
  <c r="H93" i="42"/>
  <c r="H95" i="42"/>
  <c r="K50" i="42"/>
  <c r="L50" i="42" s="1"/>
  <c r="X49" i="42"/>
  <c r="V49" i="42"/>
  <c r="K93" i="42"/>
  <c r="L93" i="42" s="1"/>
  <c r="N52" i="42"/>
  <c r="H51" i="42"/>
  <c r="H53" i="42"/>
  <c r="H50" i="42"/>
  <c r="H52" i="42"/>
  <c r="J28" i="42"/>
  <c r="A97" i="42"/>
  <c r="D96" i="42"/>
  <c r="F96" i="42" s="1"/>
  <c r="G96" i="42" s="1"/>
  <c r="C96" i="42"/>
  <c r="H96" i="42" s="1"/>
  <c r="E96" i="42"/>
  <c r="B96" i="42"/>
  <c r="M53" i="42"/>
  <c r="M95" i="42"/>
  <c r="C54" i="42"/>
  <c r="H54" i="42" s="1"/>
  <c r="D54" i="42"/>
  <c r="F54" i="42" s="1"/>
  <c r="G54" i="42" s="1"/>
  <c r="E54" i="42"/>
  <c r="A55" i="42"/>
  <c r="B54" i="42"/>
  <c r="V92" i="41"/>
  <c r="H96" i="41"/>
  <c r="H95" i="41"/>
  <c r="A98" i="41"/>
  <c r="D97" i="41"/>
  <c r="F97" i="41" s="1"/>
  <c r="G97" i="41" s="1"/>
  <c r="C97" i="41"/>
  <c r="H97" i="41" s="1"/>
  <c r="E97" i="41"/>
  <c r="B97" i="41"/>
  <c r="K94" i="41"/>
  <c r="L94" i="41" s="1"/>
  <c r="M96" i="41"/>
  <c r="M52" i="41"/>
  <c r="N95" i="41"/>
  <c r="C53" i="41"/>
  <c r="A54" i="41"/>
  <c r="E53" i="41"/>
  <c r="D53" i="41"/>
  <c r="B53" i="41"/>
  <c r="C95" i="32"/>
  <c r="A96" i="32"/>
  <c r="D95" i="32"/>
  <c r="E95" i="32"/>
  <c r="B95" i="32"/>
  <c r="F53" i="41" l="1"/>
  <c r="G53" i="41" s="1"/>
  <c r="V55" i="48"/>
  <c r="Z55" i="48"/>
  <c r="J25" i="41"/>
  <c r="J55" i="48"/>
  <c r="I56" i="48" s="1"/>
  <c r="K56" i="48" s="1"/>
  <c r="L56" i="48" s="1"/>
  <c r="U56" i="48" s="1"/>
  <c r="K57" i="47"/>
  <c r="L57" i="47" s="1"/>
  <c r="U57" i="47" s="1"/>
  <c r="J28" i="41"/>
  <c r="J50" i="42"/>
  <c r="I51" i="42" s="1"/>
  <c r="K51" i="42" s="1"/>
  <c r="L51" i="42" s="1"/>
  <c r="H53" i="41"/>
  <c r="H51" i="41"/>
  <c r="B26" i="41"/>
  <c r="J26" i="41" s="1"/>
  <c r="I50" i="41"/>
  <c r="K50" i="41" s="1"/>
  <c r="L50" i="41" s="1"/>
  <c r="H52" i="41"/>
  <c r="F50" i="41"/>
  <c r="G50" i="41" s="1"/>
  <c r="F51" i="41"/>
  <c r="G51" i="41" s="1"/>
  <c r="J32" i="41"/>
  <c r="J24" i="41"/>
  <c r="J93" i="42"/>
  <c r="I94" i="42" s="1"/>
  <c r="K94" i="42" s="1"/>
  <c r="L94" i="42" s="1"/>
  <c r="A56" i="42"/>
  <c r="D55" i="42"/>
  <c r="F55" i="42" s="1"/>
  <c r="G55" i="42" s="1"/>
  <c r="C55" i="42"/>
  <c r="H55" i="42" s="1"/>
  <c r="E55" i="42"/>
  <c r="B55" i="42"/>
  <c r="N95" i="42"/>
  <c r="E97" i="42"/>
  <c r="A98" i="42"/>
  <c r="D97" i="42"/>
  <c r="F97" i="42" s="1"/>
  <c r="G97" i="42" s="1"/>
  <c r="C97" i="42"/>
  <c r="H97" i="42" s="1"/>
  <c r="B97" i="42"/>
  <c r="M54" i="42"/>
  <c r="N53" i="42"/>
  <c r="M96" i="42"/>
  <c r="M53" i="41"/>
  <c r="N52" i="41"/>
  <c r="A55" i="41"/>
  <c r="D54" i="41"/>
  <c r="F54" i="41" s="1"/>
  <c r="G54" i="41" s="1"/>
  <c r="E54" i="41"/>
  <c r="C54" i="41"/>
  <c r="H54" i="41" s="1"/>
  <c r="B54" i="41"/>
  <c r="A99" i="41"/>
  <c r="E98" i="41"/>
  <c r="D98" i="41"/>
  <c r="F98" i="41" s="1"/>
  <c r="G98" i="41" s="1"/>
  <c r="C98" i="41"/>
  <c r="H98" i="41" s="1"/>
  <c r="B98" i="41"/>
  <c r="N96" i="41"/>
  <c r="J94" i="41"/>
  <c r="I95" i="41" s="1"/>
  <c r="M97" i="41"/>
  <c r="D96" i="32"/>
  <c r="E96" i="32"/>
  <c r="C96" i="32"/>
  <c r="A97" i="32"/>
  <c r="B96" i="32"/>
  <c r="V57" i="47" l="1"/>
  <c r="Z57" i="47"/>
  <c r="V56" i="48"/>
  <c r="Z56" i="48"/>
  <c r="J56" i="48"/>
  <c r="I57" i="48" s="1"/>
  <c r="K57" i="48" s="1"/>
  <c r="J57" i="47"/>
  <c r="I58" i="47" s="1"/>
  <c r="K58" i="47" s="1"/>
  <c r="L58" i="47" s="1"/>
  <c r="U58" i="47" s="1"/>
  <c r="U49" i="41"/>
  <c r="J50" i="41"/>
  <c r="I51" i="41" s="1"/>
  <c r="K51" i="41" s="1"/>
  <c r="L51" i="41" s="1"/>
  <c r="J51" i="42"/>
  <c r="I52" i="42" s="1"/>
  <c r="K52" i="42" s="1"/>
  <c r="L52" i="42" s="1"/>
  <c r="N96" i="42"/>
  <c r="A99" i="42"/>
  <c r="D98" i="42"/>
  <c r="F98" i="42" s="1"/>
  <c r="G98" i="42" s="1"/>
  <c r="C98" i="42"/>
  <c r="H98" i="42" s="1"/>
  <c r="E98" i="42"/>
  <c r="B98" i="42"/>
  <c r="E56" i="42"/>
  <c r="A57" i="42"/>
  <c r="C56" i="42"/>
  <c r="H56" i="42" s="1"/>
  <c r="D56" i="42"/>
  <c r="F56" i="42" s="1"/>
  <c r="G56" i="42" s="1"/>
  <c r="B56" i="42"/>
  <c r="M97" i="42"/>
  <c r="M55" i="42"/>
  <c r="J94" i="42"/>
  <c r="I95" i="42" s="1"/>
  <c r="N54" i="42"/>
  <c r="N97" i="41"/>
  <c r="K95" i="41"/>
  <c r="L95" i="41" s="1"/>
  <c r="A100" i="41"/>
  <c r="E99" i="41"/>
  <c r="D99" i="41"/>
  <c r="F99" i="41" s="1"/>
  <c r="G99" i="41" s="1"/>
  <c r="C99" i="41"/>
  <c r="H99" i="41" s="1"/>
  <c r="B99" i="41"/>
  <c r="M54" i="41"/>
  <c r="N53" i="41"/>
  <c r="M98" i="41"/>
  <c r="E55" i="41"/>
  <c r="D55" i="41"/>
  <c r="F55" i="41" s="1"/>
  <c r="G55" i="41" s="1"/>
  <c r="A56" i="41"/>
  <c r="C55" i="41"/>
  <c r="H55" i="41" s="1"/>
  <c r="B55" i="41"/>
  <c r="C97" i="32"/>
  <c r="A98" i="32"/>
  <c r="D97" i="32"/>
  <c r="E97" i="32"/>
  <c r="B97" i="32"/>
  <c r="X49" i="41" l="1"/>
  <c r="AB49" i="41"/>
  <c r="V58" i="47"/>
  <c r="Z58" i="47"/>
  <c r="V49" i="41"/>
  <c r="L57" i="48"/>
  <c r="U57" i="48" s="1"/>
  <c r="J57" i="48"/>
  <c r="I58" i="48" s="1"/>
  <c r="K58" i="48" s="1"/>
  <c r="L58" i="48" s="1"/>
  <c r="U58" i="48" s="1"/>
  <c r="J58" i="47"/>
  <c r="I59" i="47" s="1"/>
  <c r="J51" i="41"/>
  <c r="I52" i="41" s="1"/>
  <c r="K52" i="41" s="1"/>
  <c r="L52" i="41" s="1"/>
  <c r="J52" i="42"/>
  <c r="I53" i="42" s="1"/>
  <c r="M56" i="42"/>
  <c r="K95" i="42"/>
  <c r="L95" i="42" s="1"/>
  <c r="N97" i="42"/>
  <c r="E99" i="42"/>
  <c r="A100" i="42"/>
  <c r="D99" i="42"/>
  <c r="F99" i="42" s="1"/>
  <c r="G99" i="42" s="1"/>
  <c r="C99" i="42"/>
  <c r="H99" i="42" s="1"/>
  <c r="B99" i="42"/>
  <c r="N55" i="42"/>
  <c r="M98" i="42"/>
  <c r="A58" i="42"/>
  <c r="E57" i="42"/>
  <c r="D57" i="42"/>
  <c r="F57" i="42" s="1"/>
  <c r="G57" i="42" s="1"/>
  <c r="C57" i="42"/>
  <c r="H57" i="42" s="1"/>
  <c r="B57" i="42"/>
  <c r="J95" i="41"/>
  <c r="I96" i="41" s="1"/>
  <c r="K96" i="41" s="1"/>
  <c r="L96" i="41" s="1"/>
  <c r="D56" i="41"/>
  <c r="F56" i="41" s="1"/>
  <c r="G56" i="41" s="1"/>
  <c r="C56" i="41"/>
  <c r="H56" i="41" s="1"/>
  <c r="A57" i="41"/>
  <c r="E56" i="41"/>
  <c r="B56" i="41"/>
  <c r="N54" i="41"/>
  <c r="N98" i="41"/>
  <c r="E100" i="41"/>
  <c r="A101" i="41"/>
  <c r="D100" i="41"/>
  <c r="F100" i="41" s="1"/>
  <c r="G100" i="41" s="1"/>
  <c r="C100" i="41"/>
  <c r="H100" i="41" s="1"/>
  <c r="B100" i="41"/>
  <c r="M55" i="41"/>
  <c r="M99" i="41"/>
  <c r="D98" i="32"/>
  <c r="E98" i="32"/>
  <c r="C98" i="32"/>
  <c r="A99" i="32"/>
  <c r="B98" i="32"/>
  <c r="V58" i="48" l="1"/>
  <c r="Z58" i="48"/>
  <c r="V57" i="48"/>
  <c r="Z57" i="48"/>
  <c r="J58" i="48"/>
  <c r="I59" i="48" s="1"/>
  <c r="K59" i="48" s="1"/>
  <c r="L59" i="48" s="1"/>
  <c r="U59" i="48" s="1"/>
  <c r="K59" i="47"/>
  <c r="L59" i="47" s="1"/>
  <c r="U59" i="47" s="1"/>
  <c r="J52" i="41"/>
  <c r="I53" i="41" s="1"/>
  <c r="K53" i="41" s="1"/>
  <c r="L53" i="41" s="1"/>
  <c r="J95" i="42"/>
  <c r="I96" i="42" s="1"/>
  <c r="K96" i="42" s="1"/>
  <c r="L96" i="42" s="1"/>
  <c r="K53" i="42"/>
  <c r="L53" i="42" s="1"/>
  <c r="A101" i="42"/>
  <c r="D100" i="42"/>
  <c r="F100" i="42" s="1"/>
  <c r="G100" i="42" s="1"/>
  <c r="C100" i="42"/>
  <c r="H100" i="42" s="1"/>
  <c r="E100" i="42"/>
  <c r="B100" i="42"/>
  <c r="M57" i="42"/>
  <c r="M99" i="42"/>
  <c r="N56" i="42"/>
  <c r="A59" i="42"/>
  <c r="D58" i="42"/>
  <c r="F58" i="42" s="1"/>
  <c r="G58" i="42" s="1"/>
  <c r="C58" i="42"/>
  <c r="H58" i="42" s="1"/>
  <c r="E58" i="42"/>
  <c r="B58" i="42"/>
  <c r="N98" i="42"/>
  <c r="M56" i="41"/>
  <c r="N55" i="41"/>
  <c r="M100" i="41"/>
  <c r="C57" i="41"/>
  <c r="H57" i="41" s="1"/>
  <c r="D57" i="41"/>
  <c r="F57" i="41" s="1"/>
  <c r="G57" i="41" s="1"/>
  <c r="A58" i="41"/>
  <c r="E57" i="41"/>
  <c r="B57" i="41"/>
  <c r="J96" i="41"/>
  <c r="I97" i="41" s="1"/>
  <c r="N99" i="41"/>
  <c r="A102" i="41"/>
  <c r="E101" i="41"/>
  <c r="C101" i="41"/>
  <c r="H101" i="41" s="1"/>
  <c r="D101" i="41"/>
  <c r="F101" i="41" s="1"/>
  <c r="G101" i="41" s="1"/>
  <c r="B101" i="41"/>
  <c r="C99" i="32"/>
  <c r="A100" i="32"/>
  <c r="D99" i="32"/>
  <c r="E99" i="32"/>
  <c r="B99" i="32"/>
  <c r="V59" i="47" l="1"/>
  <c r="Z59" i="47"/>
  <c r="V59" i="48"/>
  <c r="Z59" i="48"/>
  <c r="J53" i="41"/>
  <c r="I54" i="41" s="1"/>
  <c r="K54" i="41" s="1"/>
  <c r="L54" i="41" s="1"/>
  <c r="J59" i="48"/>
  <c r="I60" i="48" s="1"/>
  <c r="K60" i="48" s="1"/>
  <c r="J59" i="47"/>
  <c r="I60" i="47" s="1"/>
  <c r="J53" i="42"/>
  <c r="I54" i="42" s="1"/>
  <c r="K54" i="42" s="1"/>
  <c r="L54" i="42" s="1"/>
  <c r="J96" i="42"/>
  <c r="I97" i="42" s="1"/>
  <c r="K97" i="42" s="1"/>
  <c r="L97" i="42" s="1"/>
  <c r="N57" i="42"/>
  <c r="E59" i="42"/>
  <c r="A60" i="42"/>
  <c r="D59" i="42"/>
  <c r="F59" i="42" s="1"/>
  <c r="G59" i="42" s="1"/>
  <c r="C59" i="42"/>
  <c r="H59" i="42" s="1"/>
  <c r="B59" i="42"/>
  <c r="E101" i="42"/>
  <c r="A102" i="42"/>
  <c r="D101" i="42"/>
  <c r="F101" i="42" s="1"/>
  <c r="G101" i="42" s="1"/>
  <c r="C101" i="42"/>
  <c r="H101" i="42" s="1"/>
  <c r="B101" i="42"/>
  <c r="M58" i="42"/>
  <c r="M100" i="42"/>
  <c r="N99" i="42"/>
  <c r="N100" i="41"/>
  <c r="A103" i="41"/>
  <c r="E102" i="41"/>
  <c r="D102" i="41"/>
  <c r="F102" i="41" s="1"/>
  <c r="G102" i="41" s="1"/>
  <c r="C102" i="41"/>
  <c r="H102" i="41" s="1"/>
  <c r="B102" i="41"/>
  <c r="M57" i="41"/>
  <c r="M101" i="41"/>
  <c r="A59" i="41"/>
  <c r="D58" i="41"/>
  <c r="F58" i="41" s="1"/>
  <c r="G58" i="41" s="1"/>
  <c r="C58" i="41"/>
  <c r="H58" i="41" s="1"/>
  <c r="E58" i="41"/>
  <c r="B58" i="41"/>
  <c r="N56" i="41"/>
  <c r="K97" i="41"/>
  <c r="L97" i="41" s="1"/>
  <c r="D100" i="32"/>
  <c r="E100" i="32"/>
  <c r="A101" i="32"/>
  <c r="C100" i="32"/>
  <c r="B100" i="32"/>
  <c r="J54" i="41" l="1"/>
  <c r="I55" i="41" s="1"/>
  <c r="K55" i="41" s="1"/>
  <c r="L55" i="41" s="1"/>
  <c r="L60" i="48"/>
  <c r="U60" i="48" s="1"/>
  <c r="J60" i="48"/>
  <c r="I61" i="48" s="1"/>
  <c r="K61" i="48" s="1"/>
  <c r="K60" i="47"/>
  <c r="L60" i="47" s="1"/>
  <c r="U60" i="47" s="1"/>
  <c r="J54" i="42"/>
  <c r="I55" i="42" s="1"/>
  <c r="K55" i="42" s="1"/>
  <c r="L55" i="42" s="1"/>
  <c r="N100" i="42"/>
  <c r="M59" i="42"/>
  <c r="M101" i="42"/>
  <c r="E60" i="42"/>
  <c r="C60" i="42"/>
  <c r="H60" i="42" s="1"/>
  <c r="A61" i="42"/>
  <c r="D60" i="42"/>
  <c r="F60" i="42" s="1"/>
  <c r="G60" i="42" s="1"/>
  <c r="B60" i="42"/>
  <c r="N58" i="42"/>
  <c r="J97" i="42"/>
  <c r="I98" i="42" s="1"/>
  <c r="A103" i="42"/>
  <c r="D102" i="42"/>
  <c r="F102" i="42" s="1"/>
  <c r="G102" i="42" s="1"/>
  <c r="C102" i="42"/>
  <c r="H102" i="42" s="1"/>
  <c r="E102" i="42"/>
  <c r="B102" i="42"/>
  <c r="N57" i="41"/>
  <c r="M102" i="41"/>
  <c r="J97" i="41"/>
  <c r="I98" i="41" s="1"/>
  <c r="E59" i="41"/>
  <c r="A60" i="41"/>
  <c r="C59" i="41"/>
  <c r="H59" i="41" s="1"/>
  <c r="D59" i="41"/>
  <c r="F59" i="41" s="1"/>
  <c r="G59" i="41" s="1"/>
  <c r="B59" i="41"/>
  <c r="A104" i="41"/>
  <c r="E103" i="41"/>
  <c r="C103" i="41"/>
  <c r="H103" i="41" s="1"/>
  <c r="D103" i="41"/>
  <c r="F103" i="41" s="1"/>
  <c r="G103" i="41" s="1"/>
  <c r="B103" i="41"/>
  <c r="M58" i="41"/>
  <c r="N101" i="41"/>
  <c r="C101" i="32"/>
  <c r="A102" i="32"/>
  <c r="D101" i="32"/>
  <c r="E101" i="32"/>
  <c r="B101" i="32"/>
  <c r="J55" i="41" l="1"/>
  <c r="I56" i="41" s="1"/>
  <c r="K56" i="41" s="1"/>
  <c r="L56" i="41" s="1"/>
  <c r="V60" i="47"/>
  <c r="Z60" i="47"/>
  <c r="V60" i="48"/>
  <c r="Z60" i="48"/>
  <c r="L61" i="48"/>
  <c r="U61" i="48" s="1"/>
  <c r="J61" i="48"/>
  <c r="I62" i="48" s="1"/>
  <c r="K62" i="48" s="1"/>
  <c r="L62" i="48" s="1"/>
  <c r="U62" i="48" s="1"/>
  <c r="J60" i="47"/>
  <c r="I61" i="47" s="1"/>
  <c r="K61" i="47" s="1"/>
  <c r="L61" i="47" s="1"/>
  <c r="U61" i="47" s="1"/>
  <c r="J55" i="42"/>
  <c r="I56" i="42" s="1"/>
  <c r="K56" i="42" s="1"/>
  <c r="L56" i="42" s="1"/>
  <c r="A104" i="42"/>
  <c r="E103" i="42"/>
  <c r="D103" i="42"/>
  <c r="F103" i="42" s="1"/>
  <c r="G103" i="42" s="1"/>
  <c r="C103" i="42"/>
  <c r="H103" i="42" s="1"/>
  <c r="B103" i="42"/>
  <c r="M60" i="42"/>
  <c r="N59" i="42"/>
  <c r="K98" i="42"/>
  <c r="L98" i="42" s="1"/>
  <c r="M102" i="42"/>
  <c r="C61" i="42"/>
  <c r="H61" i="42" s="1"/>
  <c r="E61" i="42"/>
  <c r="A62" i="42"/>
  <c r="D61" i="42"/>
  <c r="F61" i="42" s="1"/>
  <c r="G61" i="42" s="1"/>
  <c r="B61" i="42"/>
  <c r="N101" i="42"/>
  <c r="M59" i="41"/>
  <c r="A105" i="41"/>
  <c r="E104" i="41"/>
  <c r="C104" i="41"/>
  <c r="H104" i="41" s="1"/>
  <c r="D104" i="41"/>
  <c r="F104" i="41" s="1"/>
  <c r="G104" i="41" s="1"/>
  <c r="B104" i="41"/>
  <c r="K98" i="41"/>
  <c r="L98" i="41" s="1"/>
  <c r="M103" i="41"/>
  <c r="N58" i="41"/>
  <c r="A61" i="41"/>
  <c r="E60" i="41"/>
  <c r="D60" i="41"/>
  <c r="F60" i="41" s="1"/>
  <c r="G60" i="41" s="1"/>
  <c r="C60" i="41"/>
  <c r="H60" i="41" s="1"/>
  <c r="B60" i="41"/>
  <c r="N102" i="41"/>
  <c r="D102" i="32"/>
  <c r="E102" i="32"/>
  <c r="C102" i="32"/>
  <c r="A103" i="32"/>
  <c r="B102" i="32"/>
  <c r="J56" i="41" l="1"/>
  <c r="I57" i="41" s="1"/>
  <c r="K57" i="41" s="1"/>
  <c r="L57" i="41" s="1"/>
  <c r="V61" i="47"/>
  <c r="Z61" i="47"/>
  <c r="V62" i="48"/>
  <c r="Z62" i="48"/>
  <c r="V61" i="48"/>
  <c r="Z61" i="48"/>
  <c r="J62" i="48"/>
  <c r="I63" i="48" s="1"/>
  <c r="K63" i="48" s="1"/>
  <c r="L63" i="48" s="1"/>
  <c r="U63" i="48" s="1"/>
  <c r="J61" i="47"/>
  <c r="I62" i="47" s="1"/>
  <c r="J56" i="42"/>
  <c r="I57" i="42" s="1"/>
  <c r="K57" i="42" s="1"/>
  <c r="L57" i="42" s="1"/>
  <c r="A63" i="42"/>
  <c r="D62" i="42"/>
  <c r="F62" i="42" s="1"/>
  <c r="G62" i="42" s="1"/>
  <c r="C62" i="42"/>
  <c r="H62" i="42" s="1"/>
  <c r="E62" i="42"/>
  <c r="B62" i="42"/>
  <c r="M61" i="42"/>
  <c r="J98" i="42"/>
  <c r="I99" i="42" s="1"/>
  <c r="N60" i="42"/>
  <c r="M103" i="42"/>
  <c r="N102" i="42"/>
  <c r="D104" i="42"/>
  <c r="F104" i="42" s="1"/>
  <c r="G104" i="42" s="1"/>
  <c r="C104" i="42"/>
  <c r="H104" i="42" s="1"/>
  <c r="A105" i="42"/>
  <c r="E104" i="42"/>
  <c r="B104" i="42"/>
  <c r="N59" i="41"/>
  <c r="J98" i="41"/>
  <c r="I99" i="41" s="1"/>
  <c r="A106" i="41"/>
  <c r="E105" i="41"/>
  <c r="C105" i="41"/>
  <c r="H105" i="41" s="1"/>
  <c r="D105" i="41"/>
  <c r="F105" i="41" s="1"/>
  <c r="G105" i="41" s="1"/>
  <c r="B105" i="41"/>
  <c r="M60" i="41"/>
  <c r="C61" i="41"/>
  <c r="H61" i="41" s="1"/>
  <c r="A62" i="41"/>
  <c r="E61" i="41"/>
  <c r="D61" i="41"/>
  <c r="F61" i="41" s="1"/>
  <c r="G61" i="41" s="1"/>
  <c r="B61" i="41"/>
  <c r="N103" i="41"/>
  <c r="M104" i="41"/>
  <c r="C103" i="32"/>
  <c r="A104" i="32"/>
  <c r="D103" i="32"/>
  <c r="E103" i="32"/>
  <c r="B103" i="32"/>
  <c r="V63" i="48" l="1"/>
  <c r="Z63" i="48"/>
  <c r="J63" i="48"/>
  <c r="I64" i="48" s="1"/>
  <c r="K64" i="48" s="1"/>
  <c r="L64" i="48" s="1"/>
  <c r="U64" i="48" s="1"/>
  <c r="K62" i="47"/>
  <c r="L62" i="47" s="1"/>
  <c r="U62" i="47" s="1"/>
  <c r="M62" i="42"/>
  <c r="K99" i="42"/>
  <c r="L99" i="42" s="1"/>
  <c r="N103" i="42"/>
  <c r="N61" i="42"/>
  <c r="D105" i="42"/>
  <c r="F105" i="42" s="1"/>
  <c r="G105" i="42" s="1"/>
  <c r="C105" i="42"/>
  <c r="H105" i="42" s="1"/>
  <c r="A106" i="42"/>
  <c r="E105" i="42"/>
  <c r="B105" i="42"/>
  <c r="M104" i="42"/>
  <c r="J57" i="42"/>
  <c r="I58" i="42" s="1"/>
  <c r="E63" i="42"/>
  <c r="A64" i="42"/>
  <c r="D63" i="42"/>
  <c r="F63" i="42" s="1"/>
  <c r="G63" i="42" s="1"/>
  <c r="C63" i="42"/>
  <c r="H63" i="42" s="1"/>
  <c r="B63" i="42"/>
  <c r="N60" i="41"/>
  <c r="J57" i="41"/>
  <c r="I58" i="41" s="1"/>
  <c r="A107" i="41"/>
  <c r="E106" i="41"/>
  <c r="D106" i="41"/>
  <c r="F106" i="41" s="1"/>
  <c r="G106" i="41" s="1"/>
  <c r="C106" i="41"/>
  <c r="H106" i="41" s="1"/>
  <c r="B106" i="41"/>
  <c r="N104" i="41"/>
  <c r="M61" i="41"/>
  <c r="A63" i="41"/>
  <c r="D62" i="41"/>
  <c r="F62" i="41" s="1"/>
  <c r="G62" i="41" s="1"/>
  <c r="E62" i="41"/>
  <c r="C62" i="41"/>
  <c r="H62" i="41" s="1"/>
  <c r="B62" i="41"/>
  <c r="M105" i="41"/>
  <c r="K99" i="41"/>
  <c r="L99" i="41" s="1"/>
  <c r="D104" i="32"/>
  <c r="E104" i="32"/>
  <c r="C104" i="32"/>
  <c r="A105" i="32"/>
  <c r="B104" i="32"/>
  <c r="V62" i="47" l="1"/>
  <c r="Z62" i="47"/>
  <c r="V64" i="48"/>
  <c r="Z64" i="48"/>
  <c r="J64" i="48"/>
  <c r="I65" i="48" s="1"/>
  <c r="K65" i="48" s="1"/>
  <c r="L65" i="48" s="1"/>
  <c r="U65" i="48" s="1"/>
  <c r="J62" i="47"/>
  <c r="I63" i="47" s="1"/>
  <c r="J99" i="42"/>
  <c r="I100" i="42" s="1"/>
  <c r="K100" i="42" s="1"/>
  <c r="M63" i="42"/>
  <c r="K58" i="42"/>
  <c r="L58" i="42" s="1"/>
  <c r="N62" i="42"/>
  <c r="N104" i="42"/>
  <c r="M105" i="42"/>
  <c r="C64" i="42"/>
  <c r="H64" i="42" s="1"/>
  <c r="E64" i="42"/>
  <c r="D64" i="42"/>
  <c r="F64" i="42" s="1"/>
  <c r="G64" i="42" s="1"/>
  <c r="A65" i="42"/>
  <c r="B64" i="42"/>
  <c r="D106" i="42"/>
  <c r="F106" i="42" s="1"/>
  <c r="G106" i="42" s="1"/>
  <c r="C106" i="42"/>
  <c r="H106" i="42" s="1"/>
  <c r="A107" i="42"/>
  <c r="E106" i="42"/>
  <c r="B106" i="42"/>
  <c r="J99" i="41"/>
  <c r="I100" i="41" s="1"/>
  <c r="N61" i="41"/>
  <c r="M106" i="41"/>
  <c r="E63" i="41"/>
  <c r="D63" i="41"/>
  <c r="F63" i="41" s="1"/>
  <c r="G63" i="41" s="1"/>
  <c r="A64" i="41"/>
  <c r="C63" i="41"/>
  <c r="H63" i="41" s="1"/>
  <c r="B63" i="41"/>
  <c r="N105" i="41"/>
  <c r="M62" i="41"/>
  <c r="A108" i="41"/>
  <c r="E107" i="41"/>
  <c r="C107" i="41"/>
  <c r="H107" i="41" s="1"/>
  <c r="D107" i="41"/>
  <c r="F107" i="41" s="1"/>
  <c r="G107" i="41" s="1"/>
  <c r="B107" i="41"/>
  <c r="K58" i="41"/>
  <c r="L58" i="41" s="1"/>
  <c r="C105" i="32"/>
  <c r="A106" i="32"/>
  <c r="D105" i="32"/>
  <c r="E105" i="32"/>
  <c r="B105" i="32"/>
  <c r="V65" i="48" l="1"/>
  <c r="Z65" i="48"/>
  <c r="J65" i="48"/>
  <c r="I66" i="48" s="1"/>
  <c r="K66" i="48" s="1"/>
  <c r="L66" i="48" s="1"/>
  <c r="U66" i="48" s="1"/>
  <c r="K63" i="47"/>
  <c r="L63" i="47" s="1"/>
  <c r="U63" i="47" s="1"/>
  <c r="L100" i="42"/>
  <c r="J100" i="42"/>
  <c r="I101" i="42" s="1"/>
  <c r="K101" i="42" s="1"/>
  <c r="L101" i="42" s="1"/>
  <c r="M64" i="42"/>
  <c r="N105" i="42"/>
  <c r="J58" i="42"/>
  <c r="I59" i="42" s="1"/>
  <c r="N63" i="42"/>
  <c r="M106" i="42"/>
  <c r="D107" i="42"/>
  <c r="F107" i="42" s="1"/>
  <c r="G107" i="42" s="1"/>
  <c r="C107" i="42"/>
  <c r="H107" i="42" s="1"/>
  <c r="A108" i="42"/>
  <c r="E107" i="42"/>
  <c r="B107" i="42"/>
  <c r="A66" i="42"/>
  <c r="D65" i="42"/>
  <c r="F65" i="42" s="1"/>
  <c r="G65" i="42" s="1"/>
  <c r="C65" i="42"/>
  <c r="H65" i="42" s="1"/>
  <c r="E65" i="42"/>
  <c r="B65" i="42"/>
  <c r="J58" i="41"/>
  <c r="I59" i="41" s="1"/>
  <c r="K59" i="41" s="1"/>
  <c r="L59" i="41" s="1"/>
  <c r="M107" i="41"/>
  <c r="A109" i="41"/>
  <c r="E108" i="41"/>
  <c r="D108" i="41"/>
  <c r="F108" i="41" s="1"/>
  <c r="G108" i="41" s="1"/>
  <c r="C108" i="41"/>
  <c r="H108" i="41" s="1"/>
  <c r="B108" i="41"/>
  <c r="M63" i="41"/>
  <c r="N62" i="41"/>
  <c r="N106" i="41"/>
  <c r="K100" i="41"/>
  <c r="L100" i="41" s="1"/>
  <c r="D64" i="41"/>
  <c r="F64" i="41" s="1"/>
  <c r="G64" i="41" s="1"/>
  <c r="C64" i="41"/>
  <c r="H64" i="41" s="1"/>
  <c r="A65" i="41"/>
  <c r="E64" i="41"/>
  <c r="B64" i="41"/>
  <c r="D106" i="32"/>
  <c r="E106" i="32"/>
  <c r="C106" i="32"/>
  <c r="A107" i="32"/>
  <c r="B106" i="32"/>
  <c r="V63" i="47" l="1"/>
  <c r="Z63" i="47"/>
  <c r="V66" i="48"/>
  <c r="Z66" i="48"/>
  <c r="J66" i="48"/>
  <c r="I67" i="48" s="1"/>
  <c r="K67" i="48" s="1"/>
  <c r="L67" i="48" s="1"/>
  <c r="U67" i="48" s="1"/>
  <c r="J63" i="47"/>
  <c r="I64" i="47" s="1"/>
  <c r="M107" i="42"/>
  <c r="N64" i="42"/>
  <c r="D108" i="42"/>
  <c r="F108" i="42" s="1"/>
  <c r="G108" i="42" s="1"/>
  <c r="C108" i="42"/>
  <c r="H108" i="42" s="1"/>
  <c r="A109" i="42"/>
  <c r="E108" i="42"/>
  <c r="B108" i="42"/>
  <c r="J101" i="42"/>
  <c r="I102" i="42" s="1"/>
  <c r="K59" i="42"/>
  <c r="L59" i="42" s="1"/>
  <c r="E66" i="42"/>
  <c r="A67" i="42"/>
  <c r="D66" i="42"/>
  <c r="F66" i="42" s="1"/>
  <c r="G66" i="42" s="1"/>
  <c r="C66" i="42"/>
  <c r="H66" i="42" s="1"/>
  <c r="B66" i="42"/>
  <c r="N106" i="42"/>
  <c r="M65" i="42"/>
  <c r="J100" i="41"/>
  <c r="I101" i="41" s="1"/>
  <c r="K101" i="41" s="1"/>
  <c r="J59" i="41"/>
  <c r="I60" i="41" s="1"/>
  <c r="K60" i="41" s="1"/>
  <c r="L60" i="41" s="1"/>
  <c r="M108" i="41"/>
  <c r="C65" i="41"/>
  <c r="H65" i="41" s="1"/>
  <c r="D65" i="41"/>
  <c r="F65" i="41" s="1"/>
  <c r="G65" i="41" s="1"/>
  <c r="A66" i="41"/>
  <c r="E65" i="41"/>
  <c r="B65" i="41"/>
  <c r="A110" i="41"/>
  <c r="E109" i="41"/>
  <c r="C109" i="41"/>
  <c r="H109" i="41" s="1"/>
  <c r="D109" i="41"/>
  <c r="F109" i="41" s="1"/>
  <c r="G109" i="41" s="1"/>
  <c r="B109" i="41"/>
  <c r="N63" i="41"/>
  <c r="N107" i="41"/>
  <c r="M64" i="41"/>
  <c r="C107" i="32"/>
  <c r="A108" i="32"/>
  <c r="D107" i="32"/>
  <c r="E107" i="32"/>
  <c r="B107" i="32"/>
  <c r="V67" i="48" l="1"/>
  <c r="Z67" i="48"/>
  <c r="J67" i="48"/>
  <c r="I68" i="48" s="1"/>
  <c r="K68" i="48" s="1"/>
  <c r="L68" i="48" s="1"/>
  <c r="U68" i="48" s="1"/>
  <c r="K64" i="47"/>
  <c r="L64" i="47" s="1"/>
  <c r="U64" i="47" s="1"/>
  <c r="N107" i="42"/>
  <c r="E67" i="42"/>
  <c r="A68" i="42"/>
  <c r="D67" i="42"/>
  <c r="F67" i="42" s="1"/>
  <c r="G67" i="42" s="1"/>
  <c r="C67" i="42"/>
  <c r="H67" i="42" s="1"/>
  <c r="B67" i="42"/>
  <c r="J59" i="42"/>
  <c r="I60" i="42" s="1"/>
  <c r="M108" i="42"/>
  <c r="M66" i="42"/>
  <c r="D109" i="42"/>
  <c r="F109" i="42" s="1"/>
  <c r="G109" i="42" s="1"/>
  <c r="E109" i="42"/>
  <c r="A110" i="42"/>
  <c r="C109" i="42"/>
  <c r="H109" i="42" s="1"/>
  <c r="B109" i="42"/>
  <c r="N65" i="42"/>
  <c r="K102" i="42"/>
  <c r="L102" i="42" s="1"/>
  <c r="L101" i="41"/>
  <c r="J101" i="41"/>
  <c r="I102" i="41" s="1"/>
  <c r="K102" i="41" s="1"/>
  <c r="L102" i="41" s="1"/>
  <c r="A111" i="41"/>
  <c r="E110" i="41"/>
  <c r="C110" i="41"/>
  <c r="H110" i="41" s="1"/>
  <c r="D110" i="41"/>
  <c r="F110" i="41" s="1"/>
  <c r="G110" i="41" s="1"/>
  <c r="B110" i="41"/>
  <c r="M65" i="41"/>
  <c r="N108" i="41"/>
  <c r="N64" i="41"/>
  <c r="J60" i="41"/>
  <c r="I61" i="41" s="1"/>
  <c r="M109" i="41"/>
  <c r="A67" i="41"/>
  <c r="D66" i="41"/>
  <c r="F66" i="41" s="1"/>
  <c r="G66" i="41" s="1"/>
  <c r="C66" i="41"/>
  <c r="H66" i="41" s="1"/>
  <c r="E66" i="41"/>
  <c r="B66" i="41"/>
  <c r="D108" i="32"/>
  <c r="E108" i="32"/>
  <c r="A109" i="32"/>
  <c r="C108" i="32"/>
  <c r="B108" i="32"/>
  <c r="V64" i="47" l="1"/>
  <c r="Z64" i="47"/>
  <c r="V68" i="48"/>
  <c r="Z68" i="48"/>
  <c r="J68" i="48"/>
  <c r="I69" i="48" s="1"/>
  <c r="K69" i="48" s="1"/>
  <c r="J64" i="47"/>
  <c r="I65" i="47" s="1"/>
  <c r="N108" i="42"/>
  <c r="J102" i="42"/>
  <c r="I103" i="42" s="1"/>
  <c r="M67" i="42"/>
  <c r="N66" i="42"/>
  <c r="K60" i="42"/>
  <c r="L60" i="42" s="1"/>
  <c r="M109" i="42"/>
  <c r="C68" i="42"/>
  <c r="H68" i="42" s="1"/>
  <c r="E68" i="42"/>
  <c r="A69" i="42"/>
  <c r="D68" i="42"/>
  <c r="F68" i="42" s="1"/>
  <c r="G68" i="42" s="1"/>
  <c r="B68" i="42"/>
  <c r="D110" i="42"/>
  <c r="F110" i="42" s="1"/>
  <c r="G110" i="42" s="1"/>
  <c r="E110" i="42"/>
  <c r="A111" i="42"/>
  <c r="C110" i="42"/>
  <c r="H110" i="42" s="1"/>
  <c r="B110" i="42"/>
  <c r="J102" i="41"/>
  <c r="I103" i="41" s="1"/>
  <c r="K103" i="41" s="1"/>
  <c r="L103" i="41" s="1"/>
  <c r="N109" i="41"/>
  <c r="E67" i="41"/>
  <c r="A68" i="41"/>
  <c r="C67" i="41"/>
  <c r="H67" i="41" s="1"/>
  <c r="D67" i="41"/>
  <c r="F67" i="41" s="1"/>
  <c r="G67" i="41" s="1"/>
  <c r="B67" i="41"/>
  <c r="M66" i="41"/>
  <c r="N65" i="41"/>
  <c r="M110" i="41"/>
  <c r="K61" i="41"/>
  <c r="L61" i="41" s="1"/>
  <c r="A112" i="41"/>
  <c r="E111" i="41"/>
  <c r="C111" i="41"/>
  <c r="H111" i="41" s="1"/>
  <c r="D111" i="41"/>
  <c r="F111" i="41" s="1"/>
  <c r="G111" i="41" s="1"/>
  <c r="B111" i="41"/>
  <c r="E109" i="32"/>
  <c r="C109" i="32"/>
  <c r="A110" i="32"/>
  <c r="D109" i="32"/>
  <c r="B109" i="32"/>
  <c r="L69" i="48" l="1"/>
  <c r="U69" i="48" s="1"/>
  <c r="J69" i="48"/>
  <c r="I70" i="48" s="1"/>
  <c r="K70" i="48" s="1"/>
  <c r="L70" i="48" s="1"/>
  <c r="U70" i="48" s="1"/>
  <c r="K65" i="47"/>
  <c r="L65" i="47" s="1"/>
  <c r="U65" i="47" s="1"/>
  <c r="A70" i="42"/>
  <c r="D69" i="42"/>
  <c r="F69" i="42" s="1"/>
  <c r="G69" i="42" s="1"/>
  <c r="C69" i="42"/>
  <c r="H69" i="42" s="1"/>
  <c r="E69" i="42"/>
  <c r="B69" i="42"/>
  <c r="M68" i="42"/>
  <c r="N67" i="42"/>
  <c r="K103" i="42"/>
  <c r="L103" i="42" s="1"/>
  <c r="M110" i="42"/>
  <c r="J60" i="42"/>
  <c r="I61" i="42" s="1"/>
  <c r="D111" i="42"/>
  <c r="F111" i="42" s="1"/>
  <c r="G111" i="42" s="1"/>
  <c r="E111" i="42"/>
  <c r="A112" i="42"/>
  <c r="C111" i="42"/>
  <c r="H111" i="42" s="1"/>
  <c r="B111" i="42"/>
  <c r="N109" i="42"/>
  <c r="J103" i="41"/>
  <c r="I104" i="41" s="1"/>
  <c r="K104" i="41" s="1"/>
  <c r="L104" i="41" s="1"/>
  <c r="J61" i="41"/>
  <c r="I62" i="41" s="1"/>
  <c r="K62" i="41" s="1"/>
  <c r="A69" i="41"/>
  <c r="D68" i="41"/>
  <c r="F68" i="41" s="1"/>
  <c r="G68" i="41" s="1"/>
  <c r="C68" i="41"/>
  <c r="H68" i="41" s="1"/>
  <c r="E68" i="41"/>
  <c r="B68" i="41"/>
  <c r="M67" i="41"/>
  <c r="N66" i="41"/>
  <c r="M111" i="41"/>
  <c r="A113" i="41"/>
  <c r="E112" i="41"/>
  <c r="C112" i="41"/>
  <c r="H112" i="41" s="1"/>
  <c r="D112" i="41"/>
  <c r="F112" i="41" s="1"/>
  <c r="G112" i="41" s="1"/>
  <c r="B112" i="41"/>
  <c r="N110" i="41"/>
  <c r="C110" i="32"/>
  <c r="A111" i="32"/>
  <c r="D110" i="32"/>
  <c r="E110" i="32"/>
  <c r="B110" i="32"/>
  <c r="V65" i="47" l="1"/>
  <c r="Z65" i="47"/>
  <c r="V70" i="48"/>
  <c r="Z70" i="48"/>
  <c r="V69" i="48"/>
  <c r="Z69" i="48"/>
  <c r="J70" i="48"/>
  <c r="I71" i="48" s="1"/>
  <c r="K71" i="48" s="1"/>
  <c r="L71" i="48" s="1"/>
  <c r="U71" i="48" s="1"/>
  <c r="J65" i="47"/>
  <c r="I66" i="47" s="1"/>
  <c r="K66" i="47" s="1"/>
  <c r="L66" i="47" s="1"/>
  <c r="U66" i="47" s="1"/>
  <c r="K61" i="42"/>
  <c r="L61" i="42" s="1"/>
  <c r="N110" i="42"/>
  <c r="M111" i="42"/>
  <c r="M69" i="42"/>
  <c r="J103" i="42"/>
  <c r="I104" i="42" s="1"/>
  <c r="D112" i="42"/>
  <c r="F112" i="42" s="1"/>
  <c r="G112" i="42" s="1"/>
  <c r="E112" i="42"/>
  <c r="A113" i="42"/>
  <c r="C112" i="42"/>
  <c r="H112" i="42" s="1"/>
  <c r="B112" i="42"/>
  <c r="N68" i="42"/>
  <c r="E70" i="42"/>
  <c r="A71" i="42"/>
  <c r="D70" i="42"/>
  <c r="F70" i="42" s="1"/>
  <c r="G70" i="42" s="1"/>
  <c r="C70" i="42"/>
  <c r="H70" i="42" s="1"/>
  <c r="B70" i="42"/>
  <c r="L62" i="41"/>
  <c r="J62" i="41"/>
  <c r="I63" i="41" s="1"/>
  <c r="K63" i="41" s="1"/>
  <c r="L63" i="41" s="1"/>
  <c r="M112" i="41"/>
  <c r="J104" i="41"/>
  <c r="I105" i="41" s="1"/>
  <c r="A114" i="41"/>
  <c r="E113" i="41"/>
  <c r="C113" i="41"/>
  <c r="H113" i="41" s="1"/>
  <c r="D113" i="41"/>
  <c r="F113" i="41" s="1"/>
  <c r="G113" i="41" s="1"/>
  <c r="B113" i="41"/>
  <c r="N111" i="41"/>
  <c r="E69" i="41"/>
  <c r="A70" i="41"/>
  <c r="D69" i="41"/>
  <c r="F69" i="41" s="1"/>
  <c r="G69" i="41" s="1"/>
  <c r="C69" i="41"/>
  <c r="H69" i="41" s="1"/>
  <c r="B69" i="41"/>
  <c r="N67" i="41"/>
  <c r="M68" i="41"/>
  <c r="E111" i="32"/>
  <c r="C111" i="32"/>
  <c r="A112" i="32"/>
  <c r="D111" i="32"/>
  <c r="B111" i="32"/>
  <c r="V66" i="47" l="1"/>
  <c r="Z66" i="47"/>
  <c r="V71" i="48"/>
  <c r="Z71" i="48"/>
  <c r="J71" i="48"/>
  <c r="I72" i="48" s="1"/>
  <c r="K72" i="48" s="1"/>
  <c r="L72" i="48" s="1"/>
  <c r="U72" i="48" s="1"/>
  <c r="J66" i="47"/>
  <c r="I67" i="47" s="1"/>
  <c r="K67" i="47" s="1"/>
  <c r="L67" i="47" s="1"/>
  <c r="U67" i="47" s="1"/>
  <c r="J61" i="42"/>
  <c r="I62" i="42" s="1"/>
  <c r="K62" i="42" s="1"/>
  <c r="L62" i="42" s="1"/>
  <c r="K104" i="42"/>
  <c r="L104" i="42" s="1"/>
  <c r="N111" i="42"/>
  <c r="M112" i="42"/>
  <c r="N69" i="42"/>
  <c r="M70" i="42"/>
  <c r="E71" i="42"/>
  <c r="A72" i="42"/>
  <c r="D71" i="42"/>
  <c r="F71" i="42" s="1"/>
  <c r="G71" i="42" s="1"/>
  <c r="C71" i="42"/>
  <c r="H71" i="42" s="1"/>
  <c r="B71" i="42"/>
  <c r="D113" i="42"/>
  <c r="F113" i="42" s="1"/>
  <c r="G113" i="42" s="1"/>
  <c r="E113" i="42"/>
  <c r="A114" i="42"/>
  <c r="C113" i="42"/>
  <c r="H113" i="42" s="1"/>
  <c r="B113" i="42"/>
  <c r="J63" i="41"/>
  <c r="I64" i="41" s="1"/>
  <c r="K64" i="41" s="1"/>
  <c r="L64" i="41" s="1"/>
  <c r="M69" i="41"/>
  <c r="N68" i="41"/>
  <c r="E70" i="41"/>
  <c r="A71" i="41"/>
  <c r="D70" i="41"/>
  <c r="F70" i="41" s="1"/>
  <c r="G70" i="41" s="1"/>
  <c r="C70" i="41"/>
  <c r="H70" i="41" s="1"/>
  <c r="B70" i="41"/>
  <c r="K105" i="41"/>
  <c r="L105" i="41" s="1"/>
  <c r="M113" i="41"/>
  <c r="A115" i="41"/>
  <c r="E114" i="41"/>
  <c r="C114" i="41"/>
  <c r="H114" i="41" s="1"/>
  <c r="D114" i="41"/>
  <c r="F114" i="41" s="1"/>
  <c r="G114" i="41" s="1"/>
  <c r="B114" i="41"/>
  <c r="N112" i="41"/>
  <c r="C112" i="32"/>
  <c r="A113" i="32"/>
  <c r="D112" i="32"/>
  <c r="E112" i="32"/>
  <c r="B112" i="32"/>
  <c r="V67" i="47" l="1"/>
  <c r="Z67" i="47"/>
  <c r="V72" i="48"/>
  <c r="Z72" i="48"/>
  <c r="J72" i="48"/>
  <c r="I73" i="48" s="1"/>
  <c r="J67" i="47"/>
  <c r="I68" i="47" s="1"/>
  <c r="K68" i="47" s="1"/>
  <c r="L68" i="47" s="1"/>
  <c r="U68" i="47" s="1"/>
  <c r="J62" i="42"/>
  <c r="I63" i="42" s="1"/>
  <c r="K63" i="42" s="1"/>
  <c r="L63" i="42" s="1"/>
  <c r="D114" i="42"/>
  <c r="F114" i="42" s="1"/>
  <c r="G114" i="42" s="1"/>
  <c r="E114" i="42"/>
  <c r="A115" i="42"/>
  <c r="C114" i="42"/>
  <c r="H114" i="42" s="1"/>
  <c r="B114" i="42"/>
  <c r="N70" i="42"/>
  <c r="J104" i="42"/>
  <c r="I105" i="42" s="1"/>
  <c r="M71" i="42"/>
  <c r="M113" i="42"/>
  <c r="C72" i="42"/>
  <c r="H72" i="42" s="1"/>
  <c r="E72" i="42"/>
  <c r="D72" i="42"/>
  <c r="F72" i="42" s="1"/>
  <c r="G72" i="42" s="1"/>
  <c r="A73" i="42"/>
  <c r="B72" i="42"/>
  <c r="N112" i="42"/>
  <c r="J105" i="41"/>
  <c r="I106" i="41" s="1"/>
  <c r="K106" i="41" s="1"/>
  <c r="L106" i="41" s="1"/>
  <c r="N69" i="41"/>
  <c r="M114" i="41"/>
  <c r="J64" i="41"/>
  <c r="I65" i="41" s="1"/>
  <c r="M70" i="41"/>
  <c r="A116" i="41"/>
  <c r="E115" i="41"/>
  <c r="C115" i="41"/>
  <c r="H115" i="41" s="1"/>
  <c r="D115" i="41"/>
  <c r="F115" i="41" s="1"/>
  <c r="G115" i="41" s="1"/>
  <c r="B115" i="41"/>
  <c r="N113" i="41"/>
  <c r="C71" i="41"/>
  <c r="H71" i="41" s="1"/>
  <c r="E71" i="41"/>
  <c r="D71" i="41"/>
  <c r="F71" i="41" s="1"/>
  <c r="G71" i="41" s="1"/>
  <c r="A72" i="41"/>
  <c r="B71" i="41"/>
  <c r="E113" i="32"/>
  <c r="C113" i="32"/>
  <c r="A114" i="32"/>
  <c r="D113" i="32"/>
  <c r="B113" i="32"/>
  <c r="V68" i="47" l="1"/>
  <c r="Z68" i="47"/>
  <c r="K73" i="48"/>
  <c r="L73" i="48" s="1"/>
  <c r="U73" i="48" s="1"/>
  <c r="J68" i="47"/>
  <c r="I69" i="47" s="1"/>
  <c r="J63" i="42"/>
  <c r="I64" i="42" s="1"/>
  <c r="K64" i="42" s="1"/>
  <c r="L64" i="42" s="1"/>
  <c r="A74" i="42"/>
  <c r="D73" i="42"/>
  <c r="F73" i="42" s="1"/>
  <c r="G73" i="42" s="1"/>
  <c r="C73" i="42"/>
  <c r="H73" i="42" s="1"/>
  <c r="E73" i="42"/>
  <c r="B73" i="42"/>
  <c r="N71" i="42"/>
  <c r="D115" i="42"/>
  <c r="F115" i="42" s="1"/>
  <c r="G115" i="42" s="1"/>
  <c r="E115" i="42"/>
  <c r="A116" i="42"/>
  <c r="C115" i="42"/>
  <c r="H115" i="42" s="1"/>
  <c r="B115" i="42"/>
  <c r="M114" i="42"/>
  <c r="K105" i="42"/>
  <c r="L105" i="42" s="1"/>
  <c r="M72" i="42"/>
  <c r="N113" i="42"/>
  <c r="J106" i="41"/>
  <c r="I107" i="41" s="1"/>
  <c r="K107" i="41" s="1"/>
  <c r="L107" i="41" s="1"/>
  <c r="N70" i="41"/>
  <c r="M71" i="41"/>
  <c r="K65" i="41"/>
  <c r="L65" i="41" s="1"/>
  <c r="M115" i="41"/>
  <c r="N114" i="41"/>
  <c r="A73" i="41"/>
  <c r="D72" i="41"/>
  <c r="F72" i="41" s="1"/>
  <c r="G72" i="41" s="1"/>
  <c r="C72" i="41"/>
  <c r="H72" i="41" s="1"/>
  <c r="E72" i="41"/>
  <c r="B72" i="41"/>
  <c r="A117" i="41"/>
  <c r="E116" i="41"/>
  <c r="C116" i="41"/>
  <c r="H116" i="41" s="1"/>
  <c r="D116" i="41"/>
  <c r="F116" i="41" s="1"/>
  <c r="G116" i="41" s="1"/>
  <c r="B116" i="41"/>
  <c r="C114" i="32"/>
  <c r="A115" i="32"/>
  <c r="D114" i="32"/>
  <c r="E114" i="32"/>
  <c r="B114" i="32"/>
  <c r="V73" i="48" l="1"/>
  <c r="Z73" i="48"/>
  <c r="J73" i="48"/>
  <c r="I74" i="48" s="1"/>
  <c r="K74" i="48" s="1"/>
  <c r="K69" i="47"/>
  <c r="L69" i="47" s="1"/>
  <c r="U69" i="47" s="1"/>
  <c r="J64" i="42"/>
  <c r="I65" i="42" s="1"/>
  <c r="K65" i="42" s="1"/>
  <c r="L65" i="42" s="1"/>
  <c r="M73" i="42"/>
  <c r="J105" i="42"/>
  <c r="I106" i="42" s="1"/>
  <c r="N114" i="42"/>
  <c r="N72" i="42"/>
  <c r="D116" i="42"/>
  <c r="F116" i="42" s="1"/>
  <c r="G116" i="42" s="1"/>
  <c r="E116" i="42"/>
  <c r="A117" i="42"/>
  <c r="C116" i="42"/>
  <c r="H116" i="42" s="1"/>
  <c r="B116" i="42"/>
  <c r="M115" i="42"/>
  <c r="A75" i="42"/>
  <c r="E74" i="42"/>
  <c r="D74" i="42"/>
  <c r="F74" i="42" s="1"/>
  <c r="G74" i="42" s="1"/>
  <c r="C74" i="42"/>
  <c r="H74" i="42" s="1"/>
  <c r="B74" i="42"/>
  <c r="M72" i="41"/>
  <c r="E73" i="41"/>
  <c r="A74" i="41"/>
  <c r="D73" i="41"/>
  <c r="F73" i="41" s="1"/>
  <c r="G73" i="41" s="1"/>
  <c r="C73" i="41"/>
  <c r="H73" i="41" s="1"/>
  <c r="B73" i="41"/>
  <c r="N115" i="41"/>
  <c r="M116" i="41"/>
  <c r="J107" i="41"/>
  <c r="I108" i="41" s="1"/>
  <c r="A118" i="41"/>
  <c r="E117" i="41"/>
  <c r="C117" i="41"/>
  <c r="H117" i="41" s="1"/>
  <c r="D117" i="41"/>
  <c r="F117" i="41" s="1"/>
  <c r="G117" i="41" s="1"/>
  <c r="B117" i="41"/>
  <c r="J65" i="41"/>
  <c r="I66" i="41" s="1"/>
  <c r="N71" i="41"/>
  <c r="E115" i="32"/>
  <c r="C115" i="32"/>
  <c r="A116" i="32"/>
  <c r="D115" i="32"/>
  <c r="B115" i="32"/>
  <c r="V69" i="47" l="1"/>
  <c r="Z69" i="47"/>
  <c r="L74" i="48"/>
  <c r="U74" i="48" s="1"/>
  <c r="J74" i="48"/>
  <c r="I75" i="48" s="1"/>
  <c r="K75" i="48" s="1"/>
  <c r="L75" i="48" s="1"/>
  <c r="U75" i="48" s="1"/>
  <c r="J69" i="47"/>
  <c r="I70" i="47" s="1"/>
  <c r="M74" i="42"/>
  <c r="M116" i="42"/>
  <c r="A118" i="42"/>
  <c r="D117" i="42"/>
  <c r="F117" i="42" s="1"/>
  <c r="G117" i="42" s="1"/>
  <c r="E117" i="42"/>
  <c r="C117" i="42"/>
  <c r="H117" i="42" s="1"/>
  <c r="B117" i="42"/>
  <c r="A76" i="42"/>
  <c r="D75" i="42"/>
  <c r="F75" i="42" s="1"/>
  <c r="G75" i="42" s="1"/>
  <c r="E75" i="42"/>
  <c r="C75" i="42"/>
  <c r="H75" i="42" s="1"/>
  <c r="B75" i="42"/>
  <c r="N73" i="42"/>
  <c r="N115" i="42"/>
  <c r="J65" i="42"/>
  <c r="I66" i="42" s="1"/>
  <c r="K106" i="42"/>
  <c r="L106" i="42" s="1"/>
  <c r="M117" i="41"/>
  <c r="E74" i="41"/>
  <c r="A75" i="41"/>
  <c r="D74" i="41"/>
  <c r="F74" i="41" s="1"/>
  <c r="G74" i="41" s="1"/>
  <c r="C74" i="41"/>
  <c r="H74" i="41" s="1"/>
  <c r="B74" i="41"/>
  <c r="M73" i="41"/>
  <c r="N72" i="41"/>
  <c r="E118" i="41"/>
  <c r="A119" i="41"/>
  <c r="C118" i="41"/>
  <c r="H118" i="41" s="1"/>
  <c r="D118" i="41"/>
  <c r="F118" i="41" s="1"/>
  <c r="G118" i="41" s="1"/>
  <c r="B118" i="41"/>
  <c r="K108" i="41"/>
  <c r="L108" i="41" s="1"/>
  <c r="K66" i="41"/>
  <c r="L66" i="41" s="1"/>
  <c r="N116" i="41"/>
  <c r="C116" i="32"/>
  <c r="A117" i="32"/>
  <c r="D116" i="32"/>
  <c r="E116" i="32"/>
  <c r="B116" i="32"/>
  <c r="V75" i="48" l="1"/>
  <c r="Z75" i="48"/>
  <c r="V74" i="48"/>
  <c r="Z74" i="48"/>
  <c r="J75" i="48"/>
  <c r="I76" i="48" s="1"/>
  <c r="K76" i="48" s="1"/>
  <c r="L76" i="48" s="1"/>
  <c r="U76" i="48" s="1"/>
  <c r="K70" i="47"/>
  <c r="L70" i="47" s="1"/>
  <c r="U70" i="47" s="1"/>
  <c r="J106" i="42"/>
  <c r="I107" i="42" s="1"/>
  <c r="K107" i="42" s="1"/>
  <c r="L107" i="42" s="1"/>
  <c r="M117" i="42"/>
  <c r="K66" i="42"/>
  <c r="L66" i="42" s="1"/>
  <c r="E76" i="42"/>
  <c r="D76" i="42"/>
  <c r="F76" i="42" s="1"/>
  <c r="G76" i="42" s="1"/>
  <c r="A77" i="42"/>
  <c r="C76" i="42"/>
  <c r="H76" i="42" s="1"/>
  <c r="B76" i="42"/>
  <c r="M75" i="42"/>
  <c r="E118" i="42"/>
  <c r="A119" i="42"/>
  <c r="D118" i="42"/>
  <c r="F118" i="42" s="1"/>
  <c r="G118" i="42" s="1"/>
  <c r="C118" i="42"/>
  <c r="H118" i="42" s="1"/>
  <c r="B118" i="42"/>
  <c r="N116" i="42"/>
  <c r="N74" i="42"/>
  <c r="J66" i="41"/>
  <c r="I67" i="41" s="1"/>
  <c r="J108" i="41"/>
  <c r="I109" i="41" s="1"/>
  <c r="C75" i="41"/>
  <c r="H75" i="41" s="1"/>
  <c r="E75" i="41"/>
  <c r="A76" i="41"/>
  <c r="D75" i="41"/>
  <c r="F75" i="41" s="1"/>
  <c r="G75" i="41" s="1"/>
  <c r="B75" i="41"/>
  <c r="M74" i="41"/>
  <c r="C119" i="41"/>
  <c r="H119" i="41" s="1"/>
  <c r="E119" i="41"/>
  <c r="A120" i="41"/>
  <c r="D119" i="41"/>
  <c r="F119" i="41" s="1"/>
  <c r="G119" i="41" s="1"/>
  <c r="B119" i="41"/>
  <c r="N73" i="41"/>
  <c r="N117" i="41"/>
  <c r="M118" i="41"/>
  <c r="E117" i="32"/>
  <c r="C117" i="32"/>
  <c r="A118" i="32"/>
  <c r="D117" i="32"/>
  <c r="B117" i="32"/>
  <c r="V70" i="47" l="1"/>
  <c r="Z70" i="47"/>
  <c r="V76" i="48"/>
  <c r="Z76" i="48"/>
  <c r="J76" i="48"/>
  <c r="I77" i="48" s="1"/>
  <c r="K77" i="48" s="1"/>
  <c r="L77" i="48" s="1"/>
  <c r="U77" i="48" s="1"/>
  <c r="J70" i="47"/>
  <c r="I71" i="47" s="1"/>
  <c r="J107" i="42"/>
  <c r="I108" i="42" s="1"/>
  <c r="N117" i="42"/>
  <c r="D77" i="42"/>
  <c r="F77" i="42" s="1"/>
  <c r="G77" i="42" s="1"/>
  <c r="C77" i="42"/>
  <c r="H77" i="42" s="1"/>
  <c r="A78" i="42"/>
  <c r="E77" i="42"/>
  <c r="B77" i="42"/>
  <c r="C119" i="42"/>
  <c r="H119" i="42" s="1"/>
  <c r="D119" i="42"/>
  <c r="F119" i="42" s="1"/>
  <c r="G119" i="42" s="1"/>
  <c r="A120" i="42"/>
  <c r="E119" i="42"/>
  <c r="B119" i="42"/>
  <c r="N75" i="42"/>
  <c r="M76" i="42"/>
  <c r="M118" i="42"/>
  <c r="J66" i="42"/>
  <c r="I67" i="42" s="1"/>
  <c r="N118" i="41"/>
  <c r="E120" i="41"/>
  <c r="C120" i="41"/>
  <c r="H120" i="41" s="1"/>
  <c r="D120" i="41"/>
  <c r="F120" i="41" s="1"/>
  <c r="G120" i="41" s="1"/>
  <c r="A121" i="41"/>
  <c r="B120" i="41"/>
  <c r="A77" i="41"/>
  <c r="D76" i="41"/>
  <c r="F76" i="41" s="1"/>
  <c r="G76" i="41" s="1"/>
  <c r="C76" i="41"/>
  <c r="H76" i="41" s="1"/>
  <c r="E76" i="41"/>
  <c r="B76" i="41"/>
  <c r="K109" i="41"/>
  <c r="L109" i="41" s="1"/>
  <c r="M119" i="41"/>
  <c r="N74" i="41"/>
  <c r="M75" i="41"/>
  <c r="K67" i="41"/>
  <c r="L67" i="41" s="1"/>
  <c r="C118" i="32"/>
  <c r="A119" i="32"/>
  <c r="D118" i="32"/>
  <c r="E118" i="32"/>
  <c r="B118" i="32"/>
  <c r="V77" i="48" l="1"/>
  <c r="Z77" i="48"/>
  <c r="J77" i="48"/>
  <c r="I78" i="48" s="1"/>
  <c r="K78" i="48" s="1"/>
  <c r="L78" i="48" s="1"/>
  <c r="U78" i="48" s="1"/>
  <c r="K71" i="47"/>
  <c r="L71" i="47" s="1"/>
  <c r="U71" i="47" s="1"/>
  <c r="N118" i="42"/>
  <c r="C78" i="42"/>
  <c r="H78" i="42" s="1"/>
  <c r="D78" i="42"/>
  <c r="F78" i="42" s="1"/>
  <c r="G78" i="42" s="1"/>
  <c r="A79" i="42"/>
  <c r="E78" i="42"/>
  <c r="B78" i="42"/>
  <c r="K67" i="42"/>
  <c r="L67" i="42" s="1"/>
  <c r="K108" i="42"/>
  <c r="L108" i="42" s="1"/>
  <c r="M119" i="42"/>
  <c r="N76" i="42"/>
  <c r="C120" i="42"/>
  <c r="H120" i="42" s="1"/>
  <c r="D120" i="42"/>
  <c r="F120" i="42" s="1"/>
  <c r="G120" i="42" s="1"/>
  <c r="A121" i="42"/>
  <c r="E120" i="42"/>
  <c r="B120" i="42"/>
  <c r="M77" i="42"/>
  <c r="J67" i="41"/>
  <c r="I68" i="41" s="1"/>
  <c r="K68" i="41" s="1"/>
  <c r="L68" i="41" s="1"/>
  <c r="N119" i="41"/>
  <c r="M76" i="41"/>
  <c r="M120" i="41"/>
  <c r="J109" i="41"/>
  <c r="I110" i="41" s="1"/>
  <c r="C121" i="41"/>
  <c r="H121" i="41" s="1"/>
  <c r="A122" i="41"/>
  <c r="D121" i="41"/>
  <c r="F121" i="41" s="1"/>
  <c r="G121" i="41" s="1"/>
  <c r="E121" i="41"/>
  <c r="B121" i="41"/>
  <c r="N75" i="41"/>
  <c r="E77" i="41"/>
  <c r="A78" i="41"/>
  <c r="D77" i="41"/>
  <c r="F77" i="41" s="1"/>
  <c r="G77" i="41" s="1"/>
  <c r="C77" i="41"/>
  <c r="H77" i="41" s="1"/>
  <c r="B77" i="41"/>
  <c r="E119" i="32"/>
  <c r="C119" i="32"/>
  <c r="A120" i="32"/>
  <c r="D119" i="32"/>
  <c r="B119" i="32"/>
  <c r="V71" i="47" l="1"/>
  <c r="Z71" i="47"/>
  <c r="V78" i="48"/>
  <c r="Z78" i="48"/>
  <c r="J78" i="48"/>
  <c r="I79" i="48" s="1"/>
  <c r="K79" i="48" s="1"/>
  <c r="J71" i="47"/>
  <c r="I72" i="47" s="1"/>
  <c r="J67" i="42"/>
  <c r="I68" i="42" s="1"/>
  <c r="K68" i="42" s="1"/>
  <c r="L68" i="42" s="1"/>
  <c r="M120" i="42"/>
  <c r="M78" i="42"/>
  <c r="C121" i="42"/>
  <c r="H121" i="42" s="1"/>
  <c r="D121" i="42"/>
  <c r="F121" i="42" s="1"/>
  <c r="G121" i="42" s="1"/>
  <c r="A122" i="42"/>
  <c r="E121" i="42"/>
  <c r="B121" i="42"/>
  <c r="N119" i="42"/>
  <c r="J108" i="42"/>
  <c r="I109" i="42" s="1"/>
  <c r="E79" i="42"/>
  <c r="A80" i="42"/>
  <c r="D79" i="42"/>
  <c r="F79" i="42" s="1"/>
  <c r="G79" i="42" s="1"/>
  <c r="C79" i="42"/>
  <c r="H79" i="42" s="1"/>
  <c r="B79" i="42"/>
  <c r="N77" i="42"/>
  <c r="J68" i="41"/>
  <c r="I69" i="41" s="1"/>
  <c r="K69" i="41" s="1"/>
  <c r="L69" i="41" s="1"/>
  <c r="C78" i="41"/>
  <c r="H78" i="41" s="1"/>
  <c r="A79" i="41"/>
  <c r="E78" i="41"/>
  <c r="D78" i="41"/>
  <c r="F78" i="41" s="1"/>
  <c r="G78" i="41" s="1"/>
  <c r="B78" i="41"/>
  <c r="E122" i="41"/>
  <c r="A123" i="41"/>
  <c r="D122" i="41"/>
  <c r="F122" i="41" s="1"/>
  <c r="G122" i="41" s="1"/>
  <c r="C122" i="41"/>
  <c r="H122" i="41" s="1"/>
  <c r="B122" i="41"/>
  <c r="M77" i="41"/>
  <c r="M121" i="41"/>
  <c r="K110" i="41"/>
  <c r="L110" i="41" s="1"/>
  <c r="N120" i="41"/>
  <c r="N76" i="41"/>
  <c r="E120" i="32"/>
  <c r="C120" i="32"/>
  <c r="A121" i="32"/>
  <c r="D120" i="32"/>
  <c r="B120" i="32"/>
  <c r="L79" i="48" l="1"/>
  <c r="U79" i="48" s="1"/>
  <c r="J79" i="48"/>
  <c r="I80" i="48" s="1"/>
  <c r="K80" i="48" s="1"/>
  <c r="L80" i="48" s="1"/>
  <c r="U80" i="48" s="1"/>
  <c r="K72" i="47"/>
  <c r="L72" i="47" s="1"/>
  <c r="U72" i="47" s="1"/>
  <c r="N120" i="42"/>
  <c r="K109" i="42"/>
  <c r="L109" i="42" s="1"/>
  <c r="M121" i="42"/>
  <c r="M79" i="42"/>
  <c r="C122" i="42"/>
  <c r="H122" i="42" s="1"/>
  <c r="D122" i="42"/>
  <c r="F122" i="42" s="1"/>
  <c r="G122" i="42" s="1"/>
  <c r="E122" i="42"/>
  <c r="A123" i="42"/>
  <c r="B122" i="42"/>
  <c r="E80" i="42"/>
  <c r="A81" i="42"/>
  <c r="D80" i="42"/>
  <c r="F80" i="42" s="1"/>
  <c r="G80" i="42" s="1"/>
  <c r="C80" i="42"/>
  <c r="H80" i="42" s="1"/>
  <c r="B80" i="42"/>
  <c r="N78" i="42"/>
  <c r="J68" i="42"/>
  <c r="I69" i="42" s="1"/>
  <c r="N121" i="41"/>
  <c r="N77" i="41"/>
  <c r="C123" i="41"/>
  <c r="H123" i="41" s="1"/>
  <c r="E123" i="41"/>
  <c r="D123" i="41"/>
  <c r="F123" i="41" s="1"/>
  <c r="G123" i="41" s="1"/>
  <c r="A124" i="41"/>
  <c r="B123" i="41"/>
  <c r="M122" i="41"/>
  <c r="M78" i="41"/>
  <c r="J69" i="41"/>
  <c r="I70" i="41" s="1"/>
  <c r="J110" i="41"/>
  <c r="I111" i="41" s="1"/>
  <c r="A80" i="41"/>
  <c r="D79" i="41"/>
  <c r="F79" i="41" s="1"/>
  <c r="G79" i="41" s="1"/>
  <c r="E79" i="41"/>
  <c r="C79" i="41"/>
  <c r="H79" i="41" s="1"/>
  <c r="B79" i="41"/>
  <c r="C121" i="32"/>
  <c r="A122" i="32"/>
  <c r="D121" i="32"/>
  <c r="E121" i="32"/>
  <c r="B121" i="32"/>
  <c r="V72" i="47" l="1"/>
  <c r="Z72" i="47"/>
  <c r="V80" i="48"/>
  <c r="Z80" i="48"/>
  <c r="V79" i="48"/>
  <c r="Z79" i="48"/>
  <c r="J80" i="48"/>
  <c r="I81" i="48" s="1"/>
  <c r="K81" i="48" s="1"/>
  <c r="J72" i="47"/>
  <c r="I73" i="47" s="1"/>
  <c r="K73" i="47" s="1"/>
  <c r="L73" i="47" s="1"/>
  <c r="U73" i="47" s="1"/>
  <c r="J109" i="42"/>
  <c r="I110" i="42" s="1"/>
  <c r="K110" i="42" s="1"/>
  <c r="L110" i="42" s="1"/>
  <c r="M80" i="42"/>
  <c r="D123" i="42"/>
  <c r="F123" i="42" s="1"/>
  <c r="G123" i="42" s="1"/>
  <c r="C123" i="42"/>
  <c r="H123" i="42" s="1"/>
  <c r="A124" i="42"/>
  <c r="E123" i="42"/>
  <c r="B123" i="42"/>
  <c r="K69" i="42"/>
  <c r="L69" i="42" s="1"/>
  <c r="N79" i="42"/>
  <c r="M122" i="42"/>
  <c r="A82" i="42"/>
  <c r="C81" i="42"/>
  <c r="H81" i="42" s="1"/>
  <c r="E81" i="42"/>
  <c r="D81" i="42"/>
  <c r="F81" i="42" s="1"/>
  <c r="G81" i="42" s="1"/>
  <c r="B81" i="42"/>
  <c r="N121" i="42"/>
  <c r="E80" i="41"/>
  <c r="D80" i="41"/>
  <c r="F80" i="41" s="1"/>
  <c r="G80" i="41" s="1"/>
  <c r="A81" i="41"/>
  <c r="C80" i="41"/>
  <c r="H80" i="41" s="1"/>
  <c r="B80" i="41"/>
  <c r="M123" i="41"/>
  <c r="K111" i="41"/>
  <c r="L111" i="41" s="1"/>
  <c r="M79" i="41"/>
  <c r="K70" i="41"/>
  <c r="L70" i="41" s="1"/>
  <c r="N122" i="41"/>
  <c r="E124" i="41"/>
  <c r="C124" i="41"/>
  <c r="H124" i="41" s="1"/>
  <c r="D124" i="41"/>
  <c r="F124" i="41" s="1"/>
  <c r="G124" i="41" s="1"/>
  <c r="A125" i="41"/>
  <c r="B124" i="41"/>
  <c r="N78" i="41"/>
  <c r="E122" i="32"/>
  <c r="C122" i="32"/>
  <c r="A123" i="32"/>
  <c r="D122" i="32"/>
  <c r="B122" i="32"/>
  <c r="V73" i="47" l="1"/>
  <c r="Z73" i="47"/>
  <c r="L81" i="48"/>
  <c r="U81" i="48" s="1"/>
  <c r="J81" i="48"/>
  <c r="I82" i="48" s="1"/>
  <c r="K82" i="48" s="1"/>
  <c r="L82" i="48" s="1"/>
  <c r="U82" i="48" s="1"/>
  <c r="J73" i="47"/>
  <c r="I74" i="47" s="1"/>
  <c r="K74" i="47" s="1"/>
  <c r="L74" i="47" s="1"/>
  <c r="U74" i="47" s="1"/>
  <c r="M123" i="42"/>
  <c r="N80" i="42"/>
  <c r="N122" i="42"/>
  <c r="J110" i="42"/>
  <c r="I111" i="42" s="1"/>
  <c r="J69" i="42"/>
  <c r="I70" i="42" s="1"/>
  <c r="D124" i="42"/>
  <c r="F124" i="42" s="1"/>
  <c r="G124" i="42" s="1"/>
  <c r="C124" i="42"/>
  <c r="H124" i="42" s="1"/>
  <c r="E124" i="42"/>
  <c r="A125" i="42"/>
  <c r="B124" i="42"/>
  <c r="M81" i="42"/>
  <c r="E82" i="42"/>
  <c r="A83" i="42"/>
  <c r="D82" i="42"/>
  <c r="F82" i="42" s="1"/>
  <c r="G82" i="42" s="1"/>
  <c r="C82" i="42"/>
  <c r="H82" i="42" s="1"/>
  <c r="B82" i="42"/>
  <c r="M124" i="41"/>
  <c r="J70" i="41"/>
  <c r="I71" i="41" s="1"/>
  <c r="J111" i="41"/>
  <c r="I112" i="41" s="1"/>
  <c r="N123" i="41"/>
  <c r="E81" i="41"/>
  <c r="D81" i="41"/>
  <c r="F81" i="41" s="1"/>
  <c r="G81" i="41" s="1"/>
  <c r="C81" i="41"/>
  <c r="H81" i="41" s="1"/>
  <c r="A82" i="41"/>
  <c r="B81" i="41"/>
  <c r="C125" i="41"/>
  <c r="H125" i="41" s="1"/>
  <c r="A126" i="41"/>
  <c r="D125" i="41"/>
  <c r="F125" i="41" s="1"/>
  <c r="G125" i="41" s="1"/>
  <c r="E125" i="41"/>
  <c r="B125" i="41"/>
  <c r="N79" i="41"/>
  <c r="M80" i="41"/>
  <c r="C123" i="32"/>
  <c r="A124" i="32"/>
  <c r="D123" i="32"/>
  <c r="E123" i="32"/>
  <c r="B123" i="32"/>
  <c r="V74" i="47" l="1"/>
  <c r="Z74" i="47"/>
  <c r="V82" i="48"/>
  <c r="Z82" i="48"/>
  <c r="V81" i="48"/>
  <c r="Z81" i="48"/>
  <c r="J82" i="48"/>
  <c r="I83" i="48" s="1"/>
  <c r="K83" i="48" s="1"/>
  <c r="L83" i="48" s="1"/>
  <c r="U83" i="48" s="1"/>
  <c r="J74" i="47"/>
  <c r="I75" i="47" s="1"/>
  <c r="D125" i="42"/>
  <c r="F125" i="42" s="1"/>
  <c r="G125" i="42" s="1"/>
  <c r="C125" i="42"/>
  <c r="H125" i="42" s="1"/>
  <c r="A126" i="42"/>
  <c r="E125" i="42"/>
  <c r="B125" i="42"/>
  <c r="K70" i="42"/>
  <c r="L70" i="42" s="1"/>
  <c r="K111" i="42"/>
  <c r="L111" i="42" s="1"/>
  <c r="E83" i="42"/>
  <c r="A84" i="42"/>
  <c r="D83" i="42"/>
  <c r="F83" i="42" s="1"/>
  <c r="G83" i="42" s="1"/>
  <c r="C83" i="42"/>
  <c r="H83" i="42" s="1"/>
  <c r="B83" i="42"/>
  <c r="N123" i="42"/>
  <c r="N81" i="42"/>
  <c r="M124" i="42"/>
  <c r="M82" i="42"/>
  <c r="K112" i="41"/>
  <c r="L112" i="41" s="1"/>
  <c r="M125" i="41"/>
  <c r="M81" i="41"/>
  <c r="K71" i="41"/>
  <c r="L71" i="41" s="1"/>
  <c r="C82" i="41"/>
  <c r="H82" i="41" s="1"/>
  <c r="E82" i="41"/>
  <c r="D82" i="41"/>
  <c r="F82" i="41" s="1"/>
  <c r="G82" i="41" s="1"/>
  <c r="A83" i="41"/>
  <c r="B82" i="41"/>
  <c r="N124" i="41"/>
  <c r="N80" i="41"/>
  <c r="E126" i="41"/>
  <c r="A127" i="41"/>
  <c r="D126" i="41"/>
  <c r="F126" i="41" s="1"/>
  <c r="G126" i="41" s="1"/>
  <c r="C126" i="41"/>
  <c r="H126" i="41" s="1"/>
  <c r="B126" i="41"/>
  <c r="E124" i="32"/>
  <c r="C124" i="32"/>
  <c r="A125" i="32"/>
  <c r="D124" i="32"/>
  <c r="B124" i="32"/>
  <c r="V83" i="48" l="1"/>
  <c r="Z83" i="48"/>
  <c r="J83" i="48"/>
  <c r="I84" i="48" s="1"/>
  <c r="K84" i="48" s="1"/>
  <c r="L84" i="48" s="1"/>
  <c r="U84" i="48" s="1"/>
  <c r="K75" i="47"/>
  <c r="L75" i="47" s="1"/>
  <c r="U75" i="47" s="1"/>
  <c r="J70" i="42"/>
  <c r="I71" i="42" s="1"/>
  <c r="K71" i="42" s="1"/>
  <c r="L71" i="42" s="1"/>
  <c r="N82" i="42"/>
  <c r="M83" i="42"/>
  <c r="J111" i="42"/>
  <c r="I112" i="42" s="1"/>
  <c r="M125" i="42"/>
  <c r="D126" i="42"/>
  <c r="F126" i="42" s="1"/>
  <c r="G126" i="42" s="1"/>
  <c r="C126" i="42"/>
  <c r="H126" i="42" s="1"/>
  <c r="E126" i="42"/>
  <c r="A127" i="42"/>
  <c r="B126" i="42"/>
  <c r="N124" i="42"/>
  <c r="C84" i="42"/>
  <c r="H84" i="42" s="1"/>
  <c r="E84" i="42"/>
  <c r="D84" i="42"/>
  <c r="F84" i="42" s="1"/>
  <c r="G84" i="42" s="1"/>
  <c r="A85" i="42"/>
  <c r="B84" i="42"/>
  <c r="J71" i="41"/>
  <c r="I72" i="41" s="1"/>
  <c r="K72" i="41" s="1"/>
  <c r="L72" i="41" s="1"/>
  <c r="C127" i="41"/>
  <c r="H127" i="41" s="1"/>
  <c r="E127" i="41"/>
  <c r="D127" i="41"/>
  <c r="F127" i="41" s="1"/>
  <c r="G127" i="41" s="1"/>
  <c r="A128" i="41"/>
  <c r="B127" i="41"/>
  <c r="N81" i="41"/>
  <c r="M126" i="41"/>
  <c r="M82" i="41"/>
  <c r="J112" i="41"/>
  <c r="I113" i="41" s="1"/>
  <c r="A84" i="41"/>
  <c r="D83" i="41"/>
  <c r="F83" i="41" s="1"/>
  <c r="G83" i="41" s="1"/>
  <c r="E83" i="41"/>
  <c r="C83" i="41"/>
  <c r="H83" i="41" s="1"/>
  <c r="B83" i="41"/>
  <c r="N125" i="41"/>
  <c r="C125" i="32"/>
  <c r="A126" i="32"/>
  <c r="D125" i="32"/>
  <c r="E125" i="32"/>
  <c r="B125" i="32"/>
  <c r="V75" i="47" l="1"/>
  <c r="Z75" i="47"/>
  <c r="V84" i="48"/>
  <c r="Z84" i="48"/>
  <c r="J84" i="48"/>
  <c r="I85" i="48" s="1"/>
  <c r="J75" i="47"/>
  <c r="I76" i="47" s="1"/>
  <c r="K76" i="47" s="1"/>
  <c r="L76" i="47" s="1"/>
  <c r="U76" i="47" s="1"/>
  <c r="M84" i="42"/>
  <c r="J71" i="42"/>
  <c r="I72" i="42" s="1"/>
  <c r="A86" i="42"/>
  <c r="D85" i="42"/>
  <c r="F85" i="42" s="1"/>
  <c r="G85" i="42" s="1"/>
  <c r="C85" i="42"/>
  <c r="H85" i="42" s="1"/>
  <c r="E85" i="42"/>
  <c r="B85" i="42"/>
  <c r="M126" i="42"/>
  <c r="D127" i="42"/>
  <c r="F127" i="42" s="1"/>
  <c r="G127" i="42" s="1"/>
  <c r="C127" i="42"/>
  <c r="H127" i="42" s="1"/>
  <c r="A128" i="42"/>
  <c r="E127" i="42"/>
  <c r="B127" i="42"/>
  <c r="N125" i="42"/>
  <c r="K112" i="42"/>
  <c r="L112" i="42" s="1"/>
  <c r="N83" i="42"/>
  <c r="M83" i="41"/>
  <c r="K113" i="41"/>
  <c r="L113" i="41" s="1"/>
  <c r="N126" i="41"/>
  <c r="C128" i="41"/>
  <c r="H128" i="41" s="1"/>
  <c r="E128" i="41"/>
  <c r="D128" i="41"/>
  <c r="F128" i="41" s="1"/>
  <c r="G128" i="41" s="1"/>
  <c r="A129" i="41"/>
  <c r="B128" i="41"/>
  <c r="N82" i="41"/>
  <c r="E84" i="41"/>
  <c r="D84" i="41"/>
  <c r="F84" i="41" s="1"/>
  <c r="G84" i="41" s="1"/>
  <c r="A85" i="41"/>
  <c r="C84" i="41"/>
  <c r="H84" i="41" s="1"/>
  <c r="B84" i="41"/>
  <c r="J72" i="41"/>
  <c r="I73" i="41" s="1"/>
  <c r="M127" i="41"/>
  <c r="E126" i="32"/>
  <c r="C126" i="32"/>
  <c r="A127" i="32"/>
  <c r="D126" i="32"/>
  <c r="B126" i="32"/>
  <c r="V76" i="47" l="1"/>
  <c r="Z76" i="47"/>
  <c r="K85" i="48"/>
  <c r="L85" i="48" s="1"/>
  <c r="U85" i="48" s="1"/>
  <c r="J76" i="47"/>
  <c r="I77" i="47" s="1"/>
  <c r="J112" i="42"/>
  <c r="I113" i="42" s="1"/>
  <c r="K113" i="42" s="1"/>
  <c r="L113" i="42" s="1"/>
  <c r="D128" i="42"/>
  <c r="F128" i="42" s="1"/>
  <c r="G128" i="42" s="1"/>
  <c r="C128" i="42"/>
  <c r="H128" i="42" s="1"/>
  <c r="E128" i="42"/>
  <c r="A129" i="42"/>
  <c r="B128" i="42"/>
  <c r="N84" i="42"/>
  <c r="N126" i="42"/>
  <c r="M85" i="42"/>
  <c r="K72" i="42"/>
  <c r="L72" i="42" s="1"/>
  <c r="E86" i="42"/>
  <c r="A87" i="42"/>
  <c r="D86" i="42"/>
  <c r="F86" i="42" s="1"/>
  <c r="G86" i="42" s="1"/>
  <c r="C86" i="42"/>
  <c r="H86" i="42" s="1"/>
  <c r="B86" i="42"/>
  <c r="M127" i="42"/>
  <c r="N127" i="41"/>
  <c r="C85" i="41"/>
  <c r="H85" i="41" s="1"/>
  <c r="A86" i="41"/>
  <c r="E85" i="41"/>
  <c r="D85" i="41"/>
  <c r="F85" i="41" s="1"/>
  <c r="G85" i="41" s="1"/>
  <c r="B85" i="41"/>
  <c r="E129" i="41"/>
  <c r="A130" i="41"/>
  <c r="D129" i="41"/>
  <c r="F129" i="41" s="1"/>
  <c r="G129" i="41" s="1"/>
  <c r="C129" i="41"/>
  <c r="H129" i="41" s="1"/>
  <c r="B129" i="41"/>
  <c r="N83" i="41"/>
  <c r="K73" i="41"/>
  <c r="L73" i="41" s="1"/>
  <c r="M84" i="41"/>
  <c r="M128" i="41"/>
  <c r="J113" i="41"/>
  <c r="I114" i="41" s="1"/>
  <c r="C127" i="32"/>
  <c r="A128" i="32"/>
  <c r="D127" i="32"/>
  <c r="E127" i="32"/>
  <c r="B127" i="32"/>
  <c r="V85" i="48" l="1"/>
  <c r="Z85" i="48"/>
  <c r="J85" i="48"/>
  <c r="I86" i="48" s="1"/>
  <c r="K77" i="47"/>
  <c r="L77" i="47" s="1"/>
  <c r="U77" i="47" s="1"/>
  <c r="J113" i="42"/>
  <c r="I114" i="42" s="1"/>
  <c r="K114" i="42" s="1"/>
  <c r="L114" i="42" s="1"/>
  <c r="E87" i="42"/>
  <c r="A88" i="42"/>
  <c r="D87" i="42"/>
  <c r="F87" i="42" s="1"/>
  <c r="G87" i="42" s="1"/>
  <c r="C87" i="42"/>
  <c r="H87" i="42" s="1"/>
  <c r="B87" i="42"/>
  <c r="M86" i="42"/>
  <c r="N85" i="42"/>
  <c r="M128" i="42"/>
  <c r="D129" i="42"/>
  <c r="F129" i="42" s="1"/>
  <c r="G129" i="42" s="1"/>
  <c r="C129" i="42"/>
  <c r="H129" i="42" s="1"/>
  <c r="A130" i="42"/>
  <c r="E129" i="42"/>
  <c r="B129" i="42"/>
  <c r="N127" i="42"/>
  <c r="J72" i="42"/>
  <c r="I73" i="42" s="1"/>
  <c r="J73" i="41"/>
  <c r="I74" i="41" s="1"/>
  <c r="K74" i="41" s="1"/>
  <c r="L74" i="41" s="1"/>
  <c r="N128" i="41"/>
  <c r="N84" i="41"/>
  <c r="C130" i="41"/>
  <c r="H130" i="41" s="1"/>
  <c r="E130" i="41"/>
  <c r="A131" i="41"/>
  <c r="D130" i="41"/>
  <c r="F130" i="41" s="1"/>
  <c r="G130" i="41" s="1"/>
  <c r="B130" i="41"/>
  <c r="M85" i="41"/>
  <c r="M129" i="41"/>
  <c r="C86" i="41"/>
  <c r="H86" i="41" s="1"/>
  <c r="A87" i="41"/>
  <c r="E86" i="41"/>
  <c r="D86" i="41"/>
  <c r="F86" i="41" s="1"/>
  <c r="G86" i="41" s="1"/>
  <c r="B86" i="41"/>
  <c r="K114" i="41"/>
  <c r="L114" i="41" s="1"/>
  <c r="E128" i="32"/>
  <c r="C128" i="32"/>
  <c r="A129" i="32"/>
  <c r="D128" i="32"/>
  <c r="B128" i="32"/>
  <c r="V77" i="47" l="1"/>
  <c r="Z77" i="47"/>
  <c r="K86" i="48"/>
  <c r="L86" i="48" s="1"/>
  <c r="U86" i="48" s="1"/>
  <c r="J77" i="47"/>
  <c r="I78" i="47" s="1"/>
  <c r="K78" i="47" s="1"/>
  <c r="L78" i="47" s="1"/>
  <c r="U78" i="47" s="1"/>
  <c r="N128" i="42"/>
  <c r="C88" i="42"/>
  <c r="H88" i="42" s="1"/>
  <c r="A89" i="42"/>
  <c r="E88" i="42"/>
  <c r="D88" i="42"/>
  <c r="F88" i="42" s="1"/>
  <c r="G88" i="42" s="1"/>
  <c r="B88" i="42"/>
  <c r="M87" i="42"/>
  <c r="M129" i="42"/>
  <c r="J114" i="42"/>
  <c r="I115" i="42" s="1"/>
  <c r="N86" i="42"/>
  <c r="K73" i="42"/>
  <c r="L73" i="42" s="1"/>
  <c r="D130" i="42"/>
  <c r="F130" i="42" s="1"/>
  <c r="G130" i="42" s="1"/>
  <c r="C130" i="42"/>
  <c r="H130" i="42" s="1"/>
  <c r="E130" i="42"/>
  <c r="A131" i="42"/>
  <c r="B130" i="42"/>
  <c r="J114" i="41"/>
  <c r="I115" i="41" s="1"/>
  <c r="K115" i="41" s="1"/>
  <c r="L115" i="41" s="1"/>
  <c r="N129" i="41"/>
  <c r="N85" i="41"/>
  <c r="M86" i="41"/>
  <c r="J74" i="41"/>
  <c r="I75" i="41" s="1"/>
  <c r="E131" i="41"/>
  <c r="A132" i="41"/>
  <c r="D131" i="41"/>
  <c r="F131" i="41" s="1"/>
  <c r="G131" i="41" s="1"/>
  <c r="C131" i="41"/>
  <c r="H131" i="41" s="1"/>
  <c r="B131" i="41"/>
  <c r="A88" i="41"/>
  <c r="D87" i="41"/>
  <c r="F87" i="41" s="1"/>
  <c r="G87" i="41" s="1"/>
  <c r="E87" i="41"/>
  <c r="C87" i="41"/>
  <c r="H87" i="41" s="1"/>
  <c r="B87" i="41"/>
  <c r="M130" i="41"/>
  <c r="C129" i="32"/>
  <c r="A130" i="32"/>
  <c r="D129" i="32"/>
  <c r="E129" i="32"/>
  <c r="B129" i="32"/>
  <c r="V78" i="47" l="1"/>
  <c r="Z78" i="47"/>
  <c r="V86" i="48"/>
  <c r="Z86" i="48"/>
  <c r="J86" i="48"/>
  <c r="I87" i="48" s="1"/>
  <c r="K87" i="48" s="1"/>
  <c r="L87" i="48" s="1"/>
  <c r="U87" i="48" s="1"/>
  <c r="J78" i="47"/>
  <c r="I79" i="47" s="1"/>
  <c r="K79" i="47" s="1"/>
  <c r="N129" i="42"/>
  <c r="D131" i="42"/>
  <c r="F131" i="42" s="1"/>
  <c r="G131" i="42" s="1"/>
  <c r="C131" i="42"/>
  <c r="H131" i="42" s="1"/>
  <c r="A132" i="42"/>
  <c r="E131" i="42"/>
  <c r="B131" i="42"/>
  <c r="N87" i="42"/>
  <c r="D89" i="42"/>
  <c r="F89" i="42" s="1"/>
  <c r="G89" i="42" s="1"/>
  <c r="C89" i="42"/>
  <c r="H89" i="42" s="1"/>
  <c r="E89" i="42"/>
  <c r="B89" i="42"/>
  <c r="M130" i="42"/>
  <c r="J73" i="42"/>
  <c r="I74" i="42" s="1"/>
  <c r="K115" i="42"/>
  <c r="L115" i="42" s="1"/>
  <c r="M88" i="42"/>
  <c r="J115" i="41"/>
  <c r="I116" i="41" s="1"/>
  <c r="K116" i="41" s="1"/>
  <c r="L116" i="41" s="1"/>
  <c r="N130" i="41"/>
  <c r="M87" i="41"/>
  <c r="C132" i="41"/>
  <c r="H132" i="41" s="1"/>
  <c r="E132" i="41"/>
  <c r="D132" i="41"/>
  <c r="F132" i="41" s="1"/>
  <c r="G132" i="41" s="1"/>
  <c r="B132" i="41"/>
  <c r="M131" i="41"/>
  <c r="E88" i="41"/>
  <c r="D88" i="41"/>
  <c r="F88" i="41" s="1"/>
  <c r="G88" i="41" s="1"/>
  <c r="C88" i="41"/>
  <c r="H88" i="41" s="1"/>
  <c r="A89" i="41"/>
  <c r="B88" i="41"/>
  <c r="K75" i="41"/>
  <c r="L75" i="41" s="1"/>
  <c r="N86" i="41"/>
  <c r="E130" i="32"/>
  <c r="C130" i="32"/>
  <c r="A131" i="32"/>
  <c r="D130" i="32"/>
  <c r="B130" i="32"/>
  <c r="V87" i="48" l="1"/>
  <c r="Z87" i="48"/>
  <c r="J87" i="48"/>
  <c r="I88" i="48" s="1"/>
  <c r="L79" i="47"/>
  <c r="U79" i="47" s="1"/>
  <c r="J79" i="47"/>
  <c r="I80" i="47" s="1"/>
  <c r="K80" i="47" s="1"/>
  <c r="L80" i="47" s="1"/>
  <c r="U80" i="47" s="1"/>
  <c r="N88" i="42"/>
  <c r="J115" i="42"/>
  <c r="I116" i="42" s="1"/>
  <c r="M131" i="42"/>
  <c r="K74" i="42"/>
  <c r="L74" i="42" s="1"/>
  <c r="M89" i="42"/>
  <c r="D132" i="42"/>
  <c r="F132" i="42" s="1"/>
  <c r="G132" i="42" s="1"/>
  <c r="C132" i="42"/>
  <c r="H132" i="42" s="1"/>
  <c r="E132" i="42"/>
  <c r="B132" i="42"/>
  <c r="N130" i="42"/>
  <c r="E89" i="41"/>
  <c r="D89" i="41"/>
  <c r="F89" i="41" s="1"/>
  <c r="G89" i="41" s="1"/>
  <c r="C89" i="41"/>
  <c r="H89" i="41" s="1"/>
  <c r="B89" i="41"/>
  <c r="N131" i="41"/>
  <c r="J75" i="41"/>
  <c r="I76" i="41" s="1"/>
  <c r="M132" i="41"/>
  <c r="J116" i="41"/>
  <c r="I117" i="41" s="1"/>
  <c r="M88" i="41"/>
  <c r="N87" i="41"/>
  <c r="C131" i="32"/>
  <c r="D131" i="32"/>
  <c r="E131" i="32"/>
  <c r="B131" i="32"/>
  <c r="A132" i="32"/>
  <c r="V79" i="47" l="1"/>
  <c r="Z79" i="47"/>
  <c r="V80" i="47"/>
  <c r="Z80" i="47"/>
  <c r="K88" i="48"/>
  <c r="L88" i="48" s="1"/>
  <c r="U88" i="48" s="1"/>
  <c r="J80" i="47"/>
  <c r="I81" i="47" s="1"/>
  <c r="K81" i="47" s="1"/>
  <c r="L81" i="47" s="1"/>
  <c r="U81" i="47" s="1"/>
  <c r="J74" i="42"/>
  <c r="I75" i="42" s="1"/>
  <c r="K75" i="42" s="1"/>
  <c r="L75" i="42" s="1"/>
  <c r="K116" i="42"/>
  <c r="L116" i="42" s="1"/>
  <c r="N89" i="42"/>
  <c r="M132" i="42"/>
  <c r="N131" i="42"/>
  <c r="K117" i="41"/>
  <c r="L117" i="41" s="1"/>
  <c r="N88" i="41"/>
  <c r="M89" i="41"/>
  <c r="N132" i="41"/>
  <c r="K76" i="41"/>
  <c r="L76" i="41" s="1"/>
  <c r="D132" i="32"/>
  <c r="C132" i="32"/>
  <c r="E132" i="32"/>
  <c r="B132" i="32"/>
  <c r="V81" i="47" l="1"/>
  <c r="Z81" i="47"/>
  <c r="V88" i="48"/>
  <c r="Z88" i="48"/>
  <c r="J88" i="48"/>
  <c r="I89" i="48" s="1"/>
  <c r="K89" i="48" s="1"/>
  <c r="L89" i="48" s="1"/>
  <c r="U89" i="48" s="1"/>
  <c r="J81" i="47"/>
  <c r="I82" i="47" s="1"/>
  <c r="K82" i="47" s="1"/>
  <c r="L82" i="47" s="1"/>
  <c r="U82" i="47" s="1"/>
  <c r="J116" i="42"/>
  <c r="I117" i="42" s="1"/>
  <c r="K117" i="42" s="1"/>
  <c r="L117" i="42" s="1"/>
  <c r="N132" i="42"/>
  <c r="J75" i="42"/>
  <c r="I76" i="42" s="1"/>
  <c r="J117" i="41"/>
  <c r="I118" i="41" s="1"/>
  <c r="K118" i="41" s="1"/>
  <c r="L118" i="41" s="1"/>
  <c r="J76" i="41"/>
  <c r="I77" i="41" s="1"/>
  <c r="K77" i="41" s="1"/>
  <c r="L77" i="41" s="1"/>
  <c r="N89" i="41"/>
  <c r="D9" i="36"/>
  <c r="D11" i="36"/>
  <c r="D12" i="36"/>
  <c r="D13" i="36"/>
  <c r="F14" i="32"/>
  <c r="H14" i="32" s="1"/>
  <c r="F15" i="32"/>
  <c r="F16" i="32"/>
  <c r="H16" i="32" s="1"/>
  <c r="F17" i="32"/>
  <c r="F18" i="32"/>
  <c r="V82" i="47" l="1"/>
  <c r="Z82" i="47"/>
  <c r="V89" i="48"/>
  <c r="Z89" i="48"/>
  <c r="J89" i="48"/>
  <c r="B34" i="48"/>
  <c r="B36" i="48" s="1"/>
  <c r="J82" i="47"/>
  <c r="I83" i="47" s="1"/>
  <c r="K76" i="42"/>
  <c r="L76" i="42" s="1"/>
  <c r="J117" i="42"/>
  <c r="I118" i="42" s="1"/>
  <c r="J118" i="41"/>
  <c r="I119" i="41" s="1"/>
  <c r="J77" i="41"/>
  <c r="I78" i="41" s="1"/>
  <c r="F23" i="32"/>
  <c r="B37" i="48" l="1"/>
  <c r="B39" i="48"/>
  <c r="K83" i="47"/>
  <c r="L83" i="47" s="1"/>
  <c r="U83" i="47" s="1"/>
  <c r="K118" i="42"/>
  <c r="L118" i="42" s="1"/>
  <c r="J76" i="42"/>
  <c r="I77" i="42" s="1"/>
  <c r="K78" i="41"/>
  <c r="L78" i="41" s="1"/>
  <c r="K119" i="41"/>
  <c r="L119" i="41" s="1"/>
  <c r="F32" i="32"/>
  <c r="F25" i="32"/>
  <c r="F24" i="32"/>
  <c r="V83" i="47" l="1"/>
  <c r="Z83" i="47"/>
  <c r="D39" i="48"/>
  <c r="I9" i="46" s="1"/>
  <c r="B40" i="48"/>
  <c r="D40" i="48" s="1"/>
  <c r="I10" i="46" s="1"/>
  <c r="F25" i="36" s="1"/>
  <c r="D37" i="48"/>
  <c r="B38" i="48"/>
  <c r="D38" i="48" s="1"/>
  <c r="J83" i="47"/>
  <c r="I84" i="47" s="1"/>
  <c r="K77" i="42"/>
  <c r="L77" i="42" s="1"/>
  <c r="J118" i="42"/>
  <c r="I119" i="42" s="1"/>
  <c r="J119" i="41"/>
  <c r="I120" i="41" s="1"/>
  <c r="K120" i="41" s="1"/>
  <c r="L120" i="41" s="1"/>
  <c r="J78" i="41"/>
  <c r="I79" i="41" s="1"/>
  <c r="K79" i="41" s="1"/>
  <c r="L79" i="41" s="1"/>
  <c r="F26" i="32"/>
  <c r="U92" i="32" s="1"/>
  <c r="F34" i="32"/>
  <c r="M93" i="32"/>
  <c r="N93" i="32" s="1"/>
  <c r="M97" i="32"/>
  <c r="N97" i="32" s="1"/>
  <c r="M101" i="32"/>
  <c r="M105" i="32"/>
  <c r="N105" i="32" s="1"/>
  <c r="M109" i="32"/>
  <c r="N109" i="32" s="1"/>
  <c r="M113" i="32"/>
  <c r="N113" i="32" s="1"/>
  <c r="M117" i="32"/>
  <c r="N117" i="32" s="1"/>
  <c r="M121" i="32"/>
  <c r="N121" i="32" s="1"/>
  <c r="M125" i="32"/>
  <c r="N125" i="32" s="1"/>
  <c r="M129" i="32"/>
  <c r="N129" i="32" s="1"/>
  <c r="M94" i="32"/>
  <c r="N94" i="32" s="1"/>
  <c r="M98" i="32"/>
  <c r="N98" i="32" s="1"/>
  <c r="M102" i="32"/>
  <c r="N102" i="32" s="1"/>
  <c r="M106" i="32"/>
  <c r="N106" i="32" s="1"/>
  <c r="M110" i="32"/>
  <c r="N110" i="32" s="1"/>
  <c r="M114" i="32"/>
  <c r="N114" i="32" s="1"/>
  <c r="M118" i="32"/>
  <c r="N118" i="32" s="1"/>
  <c r="M122" i="32"/>
  <c r="N122" i="32" s="1"/>
  <c r="M126" i="32"/>
  <c r="N126" i="32" s="1"/>
  <c r="M130" i="32"/>
  <c r="N130" i="32" s="1"/>
  <c r="M95" i="32"/>
  <c r="N95" i="32" s="1"/>
  <c r="M99" i="32"/>
  <c r="N99" i="32" s="1"/>
  <c r="M103" i="32"/>
  <c r="N103" i="32" s="1"/>
  <c r="M107" i="32"/>
  <c r="N107" i="32" s="1"/>
  <c r="M111" i="32"/>
  <c r="N111" i="32" s="1"/>
  <c r="M115" i="32"/>
  <c r="N115" i="32" s="1"/>
  <c r="M119" i="32"/>
  <c r="N119" i="32" s="1"/>
  <c r="M123" i="32"/>
  <c r="N123" i="32" s="1"/>
  <c r="M127" i="32"/>
  <c r="N127" i="32" s="1"/>
  <c r="M131" i="32"/>
  <c r="N131" i="32" s="1"/>
  <c r="M96" i="32"/>
  <c r="N96" i="32" s="1"/>
  <c r="M100" i="32"/>
  <c r="N100" i="32" s="1"/>
  <c r="M104" i="32"/>
  <c r="N104" i="32" s="1"/>
  <c r="M108" i="32"/>
  <c r="N108" i="32" s="1"/>
  <c r="M112" i="32"/>
  <c r="N112" i="32" s="1"/>
  <c r="M116" i="32"/>
  <c r="N116" i="32" s="1"/>
  <c r="M120" i="32"/>
  <c r="N120" i="32" s="1"/>
  <c r="M124" i="32"/>
  <c r="N124" i="32" s="1"/>
  <c r="M128" i="32"/>
  <c r="N128" i="32" s="1"/>
  <c r="M132" i="32"/>
  <c r="N132" i="32" s="1"/>
  <c r="I11" i="46" l="1"/>
  <c r="F26" i="36" s="1"/>
  <c r="F24" i="36"/>
  <c r="K84" i="47"/>
  <c r="L84" i="47" s="1"/>
  <c r="U84" i="47" s="1"/>
  <c r="K119" i="42"/>
  <c r="L119" i="42" s="1"/>
  <c r="J77" i="42"/>
  <c r="I78" i="42" s="1"/>
  <c r="J120" i="41"/>
  <c r="I121" i="41" s="1"/>
  <c r="K121" i="41" s="1"/>
  <c r="L121" i="41" s="1"/>
  <c r="J79" i="41"/>
  <c r="I80" i="41" s="1"/>
  <c r="K80" i="41" s="1"/>
  <c r="L80" i="41" s="1"/>
  <c r="V92" i="32"/>
  <c r="W49" i="32"/>
  <c r="AC49" i="32" s="1"/>
  <c r="F93" i="32"/>
  <c r="G93" i="32" s="1"/>
  <c r="F94" i="32"/>
  <c r="G94" i="32" s="1"/>
  <c r="F95" i="32"/>
  <c r="G95" i="32" s="1"/>
  <c r="F96" i="32"/>
  <c r="G96" i="32" s="1"/>
  <c r="F97" i="32"/>
  <c r="G97" i="32" s="1"/>
  <c r="F98" i="32"/>
  <c r="G98" i="32" s="1"/>
  <c r="F99" i="32"/>
  <c r="G99" i="32" s="1"/>
  <c r="F100" i="32"/>
  <c r="G100" i="32" s="1"/>
  <c r="F101" i="32"/>
  <c r="G101" i="32" s="1"/>
  <c r="F102" i="32"/>
  <c r="G102" i="32" s="1"/>
  <c r="F103" i="32"/>
  <c r="G103" i="32" s="1"/>
  <c r="F104" i="32"/>
  <c r="G104" i="32" s="1"/>
  <c r="F105" i="32"/>
  <c r="G105" i="32" s="1"/>
  <c r="F106" i="32"/>
  <c r="G106" i="32" s="1"/>
  <c r="F107" i="32"/>
  <c r="G107" i="32" s="1"/>
  <c r="F108" i="32"/>
  <c r="G108" i="32" s="1"/>
  <c r="F109" i="32"/>
  <c r="G109" i="32" s="1"/>
  <c r="F110" i="32"/>
  <c r="G110" i="32" s="1"/>
  <c r="F111" i="32"/>
  <c r="G111" i="32" s="1"/>
  <c r="F112" i="32"/>
  <c r="G112" i="32" s="1"/>
  <c r="F113" i="32"/>
  <c r="G113" i="32" s="1"/>
  <c r="F114" i="32"/>
  <c r="G114" i="32" s="1"/>
  <c r="F115" i="32"/>
  <c r="G115" i="32" s="1"/>
  <c r="F116" i="32"/>
  <c r="G116" i="32" s="1"/>
  <c r="F117" i="32"/>
  <c r="G117" i="32" s="1"/>
  <c r="F118" i="32"/>
  <c r="G118" i="32" s="1"/>
  <c r="F119" i="32"/>
  <c r="G119" i="32" s="1"/>
  <c r="F120" i="32"/>
  <c r="G120" i="32" s="1"/>
  <c r="F121" i="32"/>
  <c r="G121" i="32" s="1"/>
  <c r="F122" i="32"/>
  <c r="G122" i="32" s="1"/>
  <c r="F123" i="32"/>
  <c r="G123" i="32" s="1"/>
  <c r="F124" i="32"/>
  <c r="G124" i="32" s="1"/>
  <c r="F125" i="32"/>
  <c r="G125" i="32" s="1"/>
  <c r="F126" i="32"/>
  <c r="G126" i="32" s="1"/>
  <c r="F127" i="32"/>
  <c r="G127" i="32" s="1"/>
  <c r="F128" i="32"/>
  <c r="G128" i="32" s="1"/>
  <c r="F129" i="32"/>
  <c r="G129" i="32" s="1"/>
  <c r="F130" i="32"/>
  <c r="G130" i="32" s="1"/>
  <c r="F131" i="32"/>
  <c r="G131" i="32" s="1"/>
  <c r="F132" i="32"/>
  <c r="G132" i="32" s="1"/>
  <c r="N101" i="32"/>
  <c r="I93" i="32"/>
  <c r="K93" i="32" s="1"/>
  <c r="L93" i="32" s="1"/>
  <c r="F28" i="32"/>
  <c r="A50" i="32"/>
  <c r="A51" i="32" s="1"/>
  <c r="A52" i="32" s="1"/>
  <c r="A53" i="32" s="1"/>
  <c r="A54" i="32" s="1"/>
  <c r="A55" i="32" s="1"/>
  <c r="A56" i="32" s="1"/>
  <c r="A57" i="32" s="1"/>
  <c r="A58" i="32" s="1"/>
  <c r="A59" i="32" s="1"/>
  <c r="A60" i="32" s="1"/>
  <c r="A61" i="32" s="1"/>
  <c r="A62" i="32" s="1"/>
  <c r="A63" i="32" s="1"/>
  <c r="A64" i="32" s="1"/>
  <c r="A65" i="32" s="1"/>
  <c r="A66" i="32" s="1"/>
  <c r="A67" i="32" s="1"/>
  <c r="A68" i="32" s="1"/>
  <c r="A69" i="32" s="1"/>
  <c r="A70" i="32" s="1"/>
  <c r="A71" i="32" s="1"/>
  <c r="A72" i="32" s="1"/>
  <c r="A73" i="32" s="1"/>
  <c r="A74" i="32" s="1"/>
  <c r="A75" i="32" s="1"/>
  <c r="A76" i="32" s="1"/>
  <c r="A77" i="32" s="1"/>
  <c r="A78" i="32" s="1"/>
  <c r="A79" i="32" s="1"/>
  <c r="A80" i="32" s="1"/>
  <c r="A81" i="32" s="1"/>
  <c r="A82" i="32" s="1"/>
  <c r="A83" i="32" s="1"/>
  <c r="A84" i="32" s="1"/>
  <c r="A85" i="32" s="1"/>
  <c r="A86" i="32" s="1"/>
  <c r="A87" i="32" s="1"/>
  <c r="A88" i="32" s="1"/>
  <c r="A89" i="32" s="1"/>
  <c r="D16" i="32"/>
  <c r="B15" i="32"/>
  <c r="A50" i="14"/>
  <c r="A51" i="14" s="1"/>
  <c r="A52" i="14" s="1"/>
  <c r="A53" i="14" s="1"/>
  <c r="A54" i="14" s="1"/>
  <c r="A55" i="14" s="1"/>
  <c r="A56" i="14" s="1"/>
  <c r="A57" i="14" s="1"/>
  <c r="A58" i="14" s="1"/>
  <c r="A59" i="14" s="1"/>
  <c r="D17" i="14"/>
  <c r="B16" i="14"/>
  <c r="D14" i="14"/>
  <c r="B12" i="14"/>
  <c r="B11" i="14"/>
  <c r="B10" i="14"/>
  <c r="B9" i="14"/>
  <c r="B8" i="14"/>
  <c r="B7" i="14"/>
  <c r="B6" i="14"/>
  <c r="B32" i="34"/>
  <c r="V84" i="47" l="1"/>
  <c r="Z84" i="47"/>
  <c r="J84" i="47"/>
  <c r="I85" i="47" s="1"/>
  <c r="K85" i="47" s="1"/>
  <c r="L85" i="47" s="1"/>
  <c r="U85" i="47" s="1"/>
  <c r="J119" i="42"/>
  <c r="I120" i="42" s="1"/>
  <c r="K120" i="42" s="1"/>
  <c r="L120" i="42" s="1"/>
  <c r="K78" i="42"/>
  <c r="L78" i="42" s="1"/>
  <c r="J121" i="41"/>
  <c r="I122" i="41" s="1"/>
  <c r="K122" i="41" s="1"/>
  <c r="L122" i="41" s="1"/>
  <c r="J80" i="41"/>
  <c r="I81" i="41" s="1"/>
  <c r="K81" i="41" s="1"/>
  <c r="L81" i="41" s="1"/>
  <c r="H94" i="32"/>
  <c r="H93" i="32"/>
  <c r="J93" i="32" s="1"/>
  <c r="I94" i="32" s="1"/>
  <c r="H95" i="32"/>
  <c r="H96" i="32"/>
  <c r="H97" i="32"/>
  <c r="H98" i="32"/>
  <c r="H99" i="32"/>
  <c r="H100" i="32"/>
  <c r="H101" i="32"/>
  <c r="H102" i="32"/>
  <c r="H103" i="32"/>
  <c r="H104" i="32"/>
  <c r="H105" i="32"/>
  <c r="H106" i="32"/>
  <c r="H107" i="32"/>
  <c r="H108" i="32"/>
  <c r="H109" i="32"/>
  <c r="H110" i="32"/>
  <c r="H111" i="32"/>
  <c r="H112" i="32"/>
  <c r="H113" i="32"/>
  <c r="H114" i="32"/>
  <c r="H115" i="32"/>
  <c r="H116" i="32"/>
  <c r="H117" i="32"/>
  <c r="H118" i="32"/>
  <c r="H119" i="32"/>
  <c r="H120" i="32"/>
  <c r="H121" i="32"/>
  <c r="H122" i="32"/>
  <c r="H123" i="32"/>
  <c r="H124" i="32"/>
  <c r="H125" i="32"/>
  <c r="H126" i="32"/>
  <c r="H127" i="32"/>
  <c r="H128" i="32"/>
  <c r="H129" i="32"/>
  <c r="H130" i="32"/>
  <c r="H131" i="32"/>
  <c r="H132" i="32"/>
  <c r="J27" i="32"/>
  <c r="C87" i="32"/>
  <c r="D86" i="32"/>
  <c r="E75" i="32"/>
  <c r="B89" i="32"/>
  <c r="D55" i="32"/>
  <c r="D59" i="32"/>
  <c r="D67" i="32"/>
  <c r="D75" i="32"/>
  <c r="D87" i="32"/>
  <c r="J30" i="32"/>
  <c r="C53" i="32"/>
  <c r="C57" i="32"/>
  <c r="C61" i="32"/>
  <c r="C65" i="32"/>
  <c r="C69" i="32"/>
  <c r="C73" i="32"/>
  <c r="C77" i="32"/>
  <c r="C81" i="32"/>
  <c r="C85" i="32"/>
  <c r="C89" i="32"/>
  <c r="D51" i="32"/>
  <c r="D79" i="32"/>
  <c r="C52" i="32"/>
  <c r="C56" i="32"/>
  <c r="C60" i="32"/>
  <c r="C64" i="32"/>
  <c r="C68" i="32"/>
  <c r="C72" i="32"/>
  <c r="C76" i="32"/>
  <c r="C80" i="32"/>
  <c r="C84" i="32"/>
  <c r="C88" i="32"/>
  <c r="D63" i="32"/>
  <c r="D71" i="32"/>
  <c r="D83" i="32"/>
  <c r="D52" i="32"/>
  <c r="D56" i="32"/>
  <c r="D60" i="32"/>
  <c r="D64" i="32"/>
  <c r="D68" i="32"/>
  <c r="D72" i="32"/>
  <c r="D76" i="32"/>
  <c r="D80" i="32"/>
  <c r="D84" i="32"/>
  <c r="D88" i="32"/>
  <c r="B42" i="32"/>
  <c r="B43" i="32" s="1"/>
  <c r="B62" i="32"/>
  <c r="E63" i="32"/>
  <c r="B66" i="32"/>
  <c r="E67" i="32"/>
  <c r="B70" i="32"/>
  <c r="B74" i="32"/>
  <c r="B82" i="32"/>
  <c r="E83" i="32"/>
  <c r="C50" i="32"/>
  <c r="B51" i="32"/>
  <c r="E52" i="32"/>
  <c r="D53" i="32"/>
  <c r="C54" i="32"/>
  <c r="B55" i="32"/>
  <c r="E56" i="32"/>
  <c r="D57" i="32"/>
  <c r="C58" i="32"/>
  <c r="B59" i="32"/>
  <c r="E60" i="32"/>
  <c r="D61" i="32"/>
  <c r="C62" i="32"/>
  <c r="B63" i="32"/>
  <c r="E64" i="32"/>
  <c r="D65" i="32"/>
  <c r="C66" i="32"/>
  <c r="B67" i="32"/>
  <c r="E68" i="32"/>
  <c r="D69" i="32"/>
  <c r="C70" i="32"/>
  <c r="B71" i="32"/>
  <c r="E72" i="32"/>
  <c r="D73" i="32"/>
  <c r="C74" i="32"/>
  <c r="B75" i="32"/>
  <c r="E76" i="32"/>
  <c r="D77" i="32"/>
  <c r="C78" i="32"/>
  <c r="B79" i="32"/>
  <c r="E80" i="32"/>
  <c r="D81" i="32"/>
  <c r="C82" i="32"/>
  <c r="B83" i="32"/>
  <c r="E84" i="32"/>
  <c r="D85" i="32"/>
  <c r="C86" i="32"/>
  <c r="B87" i="32"/>
  <c r="E88" i="32"/>
  <c r="D89" i="32"/>
  <c r="B50" i="32"/>
  <c r="E51" i="32"/>
  <c r="B54" i="32"/>
  <c r="E55" i="32"/>
  <c r="B58" i="32"/>
  <c r="E71" i="32"/>
  <c r="B78" i="32"/>
  <c r="E79" i="32"/>
  <c r="B86" i="32"/>
  <c r="E87" i="32"/>
  <c r="J29" i="32"/>
  <c r="B49" i="32"/>
  <c r="D50" i="32"/>
  <c r="C51" i="32"/>
  <c r="B52" i="32"/>
  <c r="E53" i="32"/>
  <c r="D54" i="32"/>
  <c r="C55" i="32"/>
  <c r="B56" i="32"/>
  <c r="E57" i="32"/>
  <c r="D58" i="32"/>
  <c r="C59" i="32"/>
  <c r="B60" i="32"/>
  <c r="E61" i="32"/>
  <c r="D62" i="32"/>
  <c r="C63" i="32"/>
  <c r="B64" i="32"/>
  <c r="E65" i="32"/>
  <c r="D66" i="32"/>
  <c r="C67" i="32"/>
  <c r="B68" i="32"/>
  <c r="E69" i="32"/>
  <c r="D70" i="32"/>
  <c r="C71" i="32"/>
  <c r="B72" i="32"/>
  <c r="E73" i="32"/>
  <c r="D74" i="32"/>
  <c r="C75" i="32"/>
  <c r="B76" i="32"/>
  <c r="E77" i="32"/>
  <c r="D78" i="32"/>
  <c r="C79" i="32"/>
  <c r="B80" i="32"/>
  <c r="E81" i="32"/>
  <c r="D82" i="32"/>
  <c r="C83" i="32"/>
  <c r="B84" i="32"/>
  <c r="E85" i="32"/>
  <c r="B88" i="32"/>
  <c r="E89" i="32"/>
  <c r="E50" i="32"/>
  <c r="B53" i="32"/>
  <c r="E54" i="32"/>
  <c r="B57" i="32"/>
  <c r="E58" i="32"/>
  <c r="B61" i="32"/>
  <c r="E62" i="32"/>
  <c r="B65" i="32"/>
  <c r="E66" i="32"/>
  <c r="B69" i="32"/>
  <c r="E70" i="32"/>
  <c r="B73" i="32"/>
  <c r="E74" i="32"/>
  <c r="B77" i="32"/>
  <c r="E78" i="32"/>
  <c r="B81" i="32"/>
  <c r="E82" i="32"/>
  <c r="B85" i="32"/>
  <c r="E86" i="32"/>
  <c r="E59" i="32"/>
  <c r="B23" i="14"/>
  <c r="A60" i="14"/>
  <c r="A61" i="14" s="1"/>
  <c r="A62" i="14" s="1"/>
  <c r="A63" i="14" s="1"/>
  <c r="A64" i="14" s="1"/>
  <c r="A65" i="14" s="1"/>
  <c r="A66" i="14" s="1"/>
  <c r="A67" i="14" s="1"/>
  <c r="A68" i="14" s="1"/>
  <c r="A69" i="14" s="1"/>
  <c r="A70" i="14" s="1"/>
  <c r="A71" i="14" s="1"/>
  <c r="A72" i="14" s="1"/>
  <c r="E59" i="14"/>
  <c r="E51" i="14"/>
  <c r="B28" i="14"/>
  <c r="E55" i="14"/>
  <c r="E50" i="14"/>
  <c r="C52" i="14"/>
  <c r="D53" i="14"/>
  <c r="E54" i="14"/>
  <c r="C56" i="14"/>
  <c r="D57" i="14"/>
  <c r="E58" i="14"/>
  <c r="C60" i="14"/>
  <c r="D61" i="14"/>
  <c r="E63" i="14"/>
  <c r="C69" i="14"/>
  <c r="D70" i="14"/>
  <c r="C53" i="14"/>
  <c r="D54" i="14"/>
  <c r="C61" i="14"/>
  <c r="D63" i="14"/>
  <c r="C51" i="14"/>
  <c r="D52" i="14"/>
  <c r="E53" i="14"/>
  <c r="C55" i="14"/>
  <c r="D56" i="14"/>
  <c r="E57" i="14"/>
  <c r="C59" i="14"/>
  <c r="D60" i="14"/>
  <c r="E61" i="14"/>
  <c r="C64" i="14"/>
  <c r="D65" i="14"/>
  <c r="E66" i="14"/>
  <c r="D69" i="14"/>
  <c r="E70" i="14"/>
  <c r="C72" i="14"/>
  <c r="D50" i="14"/>
  <c r="C57" i="14"/>
  <c r="D58" i="14"/>
  <c r="C70" i="14"/>
  <c r="B43" i="14"/>
  <c r="B44" i="14" s="1"/>
  <c r="C50" i="14"/>
  <c r="D51" i="14"/>
  <c r="E52" i="14"/>
  <c r="C54" i="14"/>
  <c r="D55" i="14"/>
  <c r="E56" i="14"/>
  <c r="C58" i="14"/>
  <c r="D59" i="14"/>
  <c r="E60" i="14"/>
  <c r="B62" i="14"/>
  <c r="D64" i="14"/>
  <c r="E65" i="14"/>
  <c r="C67" i="14"/>
  <c r="E69" i="14"/>
  <c r="C71" i="14"/>
  <c r="D72" i="14"/>
  <c r="B54" i="14"/>
  <c r="B70" i="14"/>
  <c r="B50" i="14"/>
  <c r="B66" i="14"/>
  <c r="B31" i="14"/>
  <c r="B32" i="14" s="1"/>
  <c r="B58" i="14"/>
  <c r="B49" i="14"/>
  <c r="B53" i="14"/>
  <c r="B57" i="14"/>
  <c r="B61" i="14"/>
  <c r="B65" i="14"/>
  <c r="B69" i="14"/>
  <c r="B52" i="14"/>
  <c r="B56" i="14"/>
  <c r="B60" i="14"/>
  <c r="B64" i="14"/>
  <c r="B72" i="14"/>
  <c r="B30" i="14"/>
  <c r="B51" i="14"/>
  <c r="B55" i="14"/>
  <c r="B59" i="14"/>
  <c r="B63" i="14"/>
  <c r="B67" i="14"/>
  <c r="V85" i="47" l="1"/>
  <c r="Z85" i="47"/>
  <c r="J85" i="47"/>
  <c r="I86" i="47" s="1"/>
  <c r="J78" i="42"/>
  <c r="I79" i="42" s="1"/>
  <c r="J120" i="42"/>
  <c r="I121" i="42" s="1"/>
  <c r="J122" i="41"/>
  <c r="I123" i="41" s="1"/>
  <c r="K123" i="41" s="1"/>
  <c r="L123" i="41" s="1"/>
  <c r="J81" i="41"/>
  <c r="I82" i="41" s="1"/>
  <c r="K94" i="32"/>
  <c r="L94" i="32" s="1"/>
  <c r="J31" i="32"/>
  <c r="D66" i="14"/>
  <c r="E64" i="14"/>
  <c r="B71" i="14"/>
  <c r="B68" i="14"/>
  <c r="D68" i="14"/>
  <c r="C63" i="14"/>
  <c r="D71" i="14"/>
  <c r="C68" i="14"/>
  <c r="E62" i="14"/>
  <c r="C62" i="14"/>
  <c r="E71" i="14"/>
  <c r="M71" i="14" s="1"/>
  <c r="N71" i="14" s="1"/>
  <c r="C65" i="14"/>
  <c r="D67" i="14"/>
  <c r="B21" i="14"/>
  <c r="D23" i="14"/>
  <c r="E68" i="14"/>
  <c r="E67" i="14"/>
  <c r="D62" i="14"/>
  <c r="C66" i="14"/>
  <c r="E72" i="14"/>
  <c r="A73" i="14"/>
  <c r="M66" i="14"/>
  <c r="N66" i="14" s="1"/>
  <c r="B33" i="14"/>
  <c r="F57" i="14" s="1"/>
  <c r="G57" i="14" s="1"/>
  <c r="M69" i="14"/>
  <c r="N69" i="14" s="1"/>
  <c r="M50" i="14"/>
  <c r="N50" i="14" s="1"/>
  <c r="M54" i="14"/>
  <c r="N54" i="14" s="1"/>
  <c r="M53" i="14"/>
  <c r="N53" i="14" s="1"/>
  <c r="M51" i="14"/>
  <c r="N51" i="14" s="1"/>
  <c r="M52" i="14"/>
  <c r="N52" i="14" s="1"/>
  <c r="M57" i="14"/>
  <c r="N57" i="14" s="1"/>
  <c r="M70" i="14"/>
  <c r="N70" i="14" s="1"/>
  <c r="M56" i="14"/>
  <c r="N56" i="14" s="1"/>
  <c r="M55" i="14"/>
  <c r="N55" i="14" s="1"/>
  <c r="M60" i="14"/>
  <c r="N60" i="14" s="1"/>
  <c r="M61" i="14"/>
  <c r="N61" i="14" s="1"/>
  <c r="M58" i="14"/>
  <c r="N58" i="14" s="1"/>
  <c r="M59" i="14"/>
  <c r="N59" i="14" s="1"/>
  <c r="B25" i="14"/>
  <c r="M63" i="14"/>
  <c r="N63" i="14" s="1"/>
  <c r="B26" i="14"/>
  <c r="M65" i="14"/>
  <c r="N65" i="14" s="1"/>
  <c r="K86" i="47" l="1"/>
  <c r="L86" i="47" s="1"/>
  <c r="U86" i="47" s="1"/>
  <c r="B27" i="14"/>
  <c r="K121" i="42"/>
  <c r="L121" i="42" s="1"/>
  <c r="K79" i="42"/>
  <c r="L79" i="42" s="1"/>
  <c r="H7" i="13"/>
  <c r="O65" i="14"/>
  <c r="P65" i="14" s="1"/>
  <c r="Q65" i="14" s="1"/>
  <c r="O52" i="14"/>
  <c r="P52" i="14" s="1"/>
  <c r="O69" i="14"/>
  <c r="P69" i="14" s="1"/>
  <c r="O64" i="14"/>
  <c r="P64" i="14" s="1"/>
  <c r="O54" i="14"/>
  <c r="P54" i="14" s="1"/>
  <c r="O70" i="14"/>
  <c r="P70" i="14" s="1"/>
  <c r="O58" i="14"/>
  <c r="P58" i="14" s="1"/>
  <c r="O51" i="14"/>
  <c r="P51" i="14" s="1"/>
  <c r="O71" i="14"/>
  <c r="P71" i="14" s="1"/>
  <c r="Q71" i="14" s="1"/>
  <c r="O50" i="14"/>
  <c r="P50" i="14" s="1"/>
  <c r="O60" i="14"/>
  <c r="P60" i="14" s="1"/>
  <c r="O72" i="14"/>
  <c r="P72" i="14" s="1"/>
  <c r="O53" i="14"/>
  <c r="P53" i="14" s="1"/>
  <c r="O62" i="14"/>
  <c r="P62" i="14" s="1"/>
  <c r="O61" i="14"/>
  <c r="P61" i="14" s="1"/>
  <c r="O68" i="14"/>
  <c r="P68" i="14" s="1"/>
  <c r="O55" i="14"/>
  <c r="P55" i="14" s="1"/>
  <c r="O63" i="14"/>
  <c r="P63" i="14" s="1"/>
  <c r="O59" i="14"/>
  <c r="P59" i="14" s="1"/>
  <c r="O67" i="14"/>
  <c r="P67" i="14" s="1"/>
  <c r="O66" i="14"/>
  <c r="P66" i="14" s="1"/>
  <c r="O56" i="14"/>
  <c r="P56" i="14" s="1"/>
  <c r="O57" i="14"/>
  <c r="P57" i="14" s="1"/>
  <c r="J123" i="41"/>
  <c r="I124" i="41" s="1"/>
  <c r="K124" i="41" s="1"/>
  <c r="L124" i="41" s="1"/>
  <c r="K82" i="41"/>
  <c r="L82" i="41" s="1"/>
  <c r="M62" i="14"/>
  <c r="N62" i="14" s="1"/>
  <c r="M64" i="14"/>
  <c r="N64" i="14" s="1"/>
  <c r="J94" i="32"/>
  <c r="I95" i="32" s="1"/>
  <c r="D21" i="14"/>
  <c r="H3" i="13" s="1"/>
  <c r="M72" i="14"/>
  <c r="N72" i="14" s="1"/>
  <c r="B22" i="14"/>
  <c r="H5" i="13" s="1"/>
  <c r="M68" i="14"/>
  <c r="N68" i="14" s="1"/>
  <c r="F52" i="14"/>
  <c r="G52" i="14" s="1"/>
  <c r="F56" i="14"/>
  <c r="G56" i="14" s="1"/>
  <c r="F61" i="14"/>
  <c r="G61" i="14" s="1"/>
  <c r="F59" i="14"/>
  <c r="G59" i="14" s="1"/>
  <c r="F60" i="14"/>
  <c r="G60" i="14" s="1"/>
  <c r="F72" i="14"/>
  <c r="G72" i="14" s="1"/>
  <c r="F58" i="14"/>
  <c r="G58" i="14" s="1"/>
  <c r="F62" i="14"/>
  <c r="G62" i="14" s="1"/>
  <c r="F70" i="14"/>
  <c r="G70" i="14" s="1"/>
  <c r="F63" i="14"/>
  <c r="G63" i="14" s="1"/>
  <c r="F55" i="14"/>
  <c r="G55" i="14" s="1"/>
  <c r="A74" i="14"/>
  <c r="D73" i="14"/>
  <c r="F73" i="14" s="1"/>
  <c r="G73" i="14" s="1"/>
  <c r="B73" i="14"/>
  <c r="C73" i="14"/>
  <c r="E73" i="14"/>
  <c r="O73" i="14" s="1"/>
  <c r="B29" i="14"/>
  <c r="H71" i="14" s="1"/>
  <c r="M67" i="14"/>
  <c r="N67" i="14" s="1"/>
  <c r="I50" i="14"/>
  <c r="K50" i="14" s="1"/>
  <c r="L50" i="14" s="1"/>
  <c r="F53" i="14"/>
  <c r="G53" i="14" s="1"/>
  <c r="F50" i="14"/>
  <c r="G50" i="14" s="1"/>
  <c r="F66" i="14"/>
  <c r="G66" i="14" s="1"/>
  <c r="F67" i="14"/>
  <c r="G67" i="14" s="1"/>
  <c r="F64" i="14"/>
  <c r="G64" i="14" s="1"/>
  <c r="F65" i="14"/>
  <c r="G65" i="14" s="1"/>
  <c r="F54" i="14"/>
  <c r="G54" i="14" s="1"/>
  <c r="F51" i="14"/>
  <c r="G51" i="14" s="1"/>
  <c r="F71" i="14"/>
  <c r="G71" i="14" s="1"/>
  <c r="F68" i="14"/>
  <c r="G68" i="14" s="1"/>
  <c r="F69" i="14"/>
  <c r="G69" i="14" s="1"/>
  <c r="B46" i="14"/>
  <c r="B45" i="14"/>
  <c r="B35" i="14"/>
  <c r="B47" i="14"/>
  <c r="V86" i="47" l="1"/>
  <c r="Z86" i="47"/>
  <c r="H8" i="25"/>
  <c r="E14" i="25" s="1"/>
  <c r="H8" i="46"/>
  <c r="H7" i="45"/>
  <c r="H6" i="46"/>
  <c r="H5" i="45"/>
  <c r="H3" i="46"/>
  <c r="H3" i="45"/>
  <c r="J86" i="47"/>
  <c r="I87" i="47" s="1"/>
  <c r="K87" i="47" s="1"/>
  <c r="Q61" i="14"/>
  <c r="Q55" i="14"/>
  <c r="U49" i="14"/>
  <c r="W49" i="14" s="1"/>
  <c r="Q59" i="14"/>
  <c r="Q50" i="14"/>
  <c r="Q58" i="14"/>
  <c r="B23" i="36"/>
  <c r="H7" i="43"/>
  <c r="Q63" i="14"/>
  <c r="B19" i="36"/>
  <c r="H3" i="43"/>
  <c r="Q70" i="14"/>
  <c r="Q66" i="14"/>
  <c r="H7" i="24"/>
  <c r="E15" i="24" s="1"/>
  <c r="B21" i="36"/>
  <c r="H5" i="43"/>
  <c r="J79" i="42"/>
  <c r="I80" i="42" s="1"/>
  <c r="K80" i="42" s="1"/>
  <c r="L80" i="42" s="1"/>
  <c r="J121" i="42"/>
  <c r="I122" i="42" s="1"/>
  <c r="Q52" i="14"/>
  <c r="Q54" i="14"/>
  <c r="Q60" i="14"/>
  <c r="Q57" i="14"/>
  <c r="Q56" i="14"/>
  <c r="Q53" i="14"/>
  <c r="Q67" i="14"/>
  <c r="Q68" i="14"/>
  <c r="Q51" i="14"/>
  <c r="Q69" i="14"/>
  <c r="H5" i="24"/>
  <c r="H6" i="25"/>
  <c r="H3" i="24"/>
  <c r="H3" i="25"/>
  <c r="Q62" i="14"/>
  <c r="R53" i="14"/>
  <c r="S53" i="14" s="1"/>
  <c r="T53" i="14" s="1"/>
  <c r="Q64" i="14"/>
  <c r="J82" i="41"/>
  <c r="I83" i="41" s="1"/>
  <c r="J124" i="41"/>
  <c r="I125" i="41" s="1"/>
  <c r="K95" i="32"/>
  <c r="L95" i="32" s="1"/>
  <c r="R50" i="14"/>
  <c r="S50" i="14" s="1"/>
  <c r="T50" i="14" s="1"/>
  <c r="Q72" i="14"/>
  <c r="R52" i="14"/>
  <c r="S52" i="14" s="1"/>
  <c r="T52" i="14" s="1"/>
  <c r="R57" i="14"/>
  <c r="S57" i="14" s="1"/>
  <c r="T57" i="14" s="1"/>
  <c r="R70" i="14"/>
  <c r="S70" i="14" s="1"/>
  <c r="T70" i="14" s="1"/>
  <c r="R60" i="14"/>
  <c r="S60" i="14" s="1"/>
  <c r="T60" i="14" s="1"/>
  <c r="R51" i="14"/>
  <c r="S51" i="14" s="1"/>
  <c r="T51" i="14" s="1"/>
  <c r="R64" i="14"/>
  <c r="S64" i="14" s="1"/>
  <c r="T64" i="14" s="1"/>
  <c r="R67" i="14"/>
  <c r="S67" i="14" s="1"/>
  <c r="T67" i="14" s="1"/>
  <c r="R69" i="14"/>
  <c r="S69" i="14" s="1"/>
  <c r="T69" i="14" s="1"/>
  <c r="R62" i="14"/>
  <c r="S62" i="14" s="1"/>
  <c r="T62" i="14" s="1"/>
  <c r="R71" i="14"/>
  <c r="S71" i="14" s="1"/>
  <c r="T71" i="14" s="1"/>
  <c r="R66" i="14"/>
  <c r="S66" i="14" s="1"/>
  <c r="T66" i="14" s="1"/>
  <c r="R65" i="14"/>
  <c r="S65" i="14" s="1"/>
  <c r="T65" i="14" s="1"/>
  <c r="R55" i="14"/>
  <c r="S55" i="14" s="1"/>
  <c r="T55" i="14" s="1"/>
  <c r="R63" i="14"/>
  <c r="S63" i="14" s="1"/>
  <c r="T63" i="14" s="1"/>
  <c r="R59" i="14"/>
  <c r="S59" i="14" s="1"/>
  <c r="T59" i="14" s="1"/>
  <c r="R68" i="14"/>
  <c r="S68" i="14" s="1"/>
  <c r="T68" i="14" s="1"/>
  <c r="R61" i="14"/>
  <c r="S61" i="14" s="1"/>
  <c r="T61" i="14" s="1"/>
  <c r="R54" i="14"/>
  <c r="S54" i="14" s="1"/>
  <c r="T54" i="14" s="1"/>
  <c r="R56" i="14"/>
  <c r="S56" i="14" s="1"/>
  <c r="T56" i="14" s="1"/>
  <c r="R72" i="14"/>
  <c r="S72" i="14" s="1"/>
  <c r="T72" i="14" s="1"/>
  <c r="R58" i="14"/>
  <c r="S58" i="14" s="1"/>
  <c r="T58" i="14" s="1"/>
  <c r="R73" i="14"/>
  <c r="S73" i="14" s="1"/>
  <c r="T73" i="14" s="1"/>
  <c r="H51" i="14"/>
  <c r="H72" i="14"/>
  <c r="H70" i="14"/>
  <c r="H56" i="14"/>
  <c r="H58" i="14"/>
  <c r="H73" i="14"/>
  <c r="H55" i="14"/>
  <c r="H50" i="14"/>
  <c r="J50" i="14" s="1"/>
  <c r="I51" i="14" s="1"/>
  <c r="K51" i="14" s="1"/>
  <c r="L51" i="14" s="1"/>
  <c r="H67" i="14"/>
  <c r="H64" i="14"/>
  <c r="H59" i="14"/>
  <c r="H61" i="14"/>
  <c r="H52" i="14"/>
  <c r="H65" i="14"/>
  <c r="H62" i="14"/>
  <c r="H60" i="14"/>
  <c r="P73" i="14"/>
  <c r="M73" i="14"/>
  <c r="N73" i="14" s="1"/>
  <c r="A75" i="14"/>
  <c r="B74" i="14"/>
  <c r="E74" i="14"/>
  <c r="O74" i="14" s="1"/>
  <c r="D74" i="14"/>
  <c r="F74" i="14" s="1"/>
  <c r="G74" i="14" s="1"/>
  <c r="C74" i="14"/>
  <c r="H74" i="14" s="1"/>
  <c r="H54" i="14"/>
  <c r="H68" i="14"/>
  <c r="H57" i="14"/>
  <c r="H53" i="14"/>
  <c r="H69" i="14"/>
  <c r="H66" i="14"/>
  <c r="H63" i="14"/>
  <c r="V49" i="14" l="1"/>
  <c r="W49" i="48"/>
  <c r="X49" i="48" s="1"/>
  <c r="Y49" i="48" s="1"/>
  <c r="W49" i="47"/>
  <c r="X49" i="47" s="1"/>
  <c r="Y49" i="47" s="1"/>
  <c r="L87" i="47"/>
  <c r="U87" i="47" s="1"/>
  <c r="J87" i="47"/>
  <c r="I88" i="47" s="1"/>
  <c r="K88" i="47" s="1"/>
  <c r="L88" i="47" s="1"/>
  <c r="U88" i="47" s="1"/>
  <c r="U51" i="14"/>
  <c r="Y49" i="42"/>
  <c r="Z49" i="42" s="1"/>
  <c r="AA49" i="42" s="1"/>
  <c r="Y49" i="41"/>
  <c r="Y49" i="32"/>
  <c r="U50" i="14"/>
  <c r="E14" i="43"/>
  <c r="B3" i="42"/>
  <c r="C5" i="43" s="1"/>
  <c r="D23" i="43" s="1"/>
  <c r="G17" i="36" s="1"/>
  <c r="K122" i="42"/>
  <c r="L122" i="42" s="1"/>
  <c r="J80" i="42"/>
  <c r="I81" i="42" s="1"/>
  <c r="B3" i="41"/>
  <c r="D7" i="36"/>
  <c r="K125" i="41"/>
  <c r="L125" i="41" s="1"/>
  <c r="K83" i="41"/>
  <c r="L83" i="41" s="1"/>
  <c r="J95" i="32"/>
  <c r="I96" i="32" s="1"/>
  <c r="K96" i="32" s="1"/>
  <c r="L96" i="32" s="1"/>
  <c r="Q73" i="14"/>
  <c r="A76" i="14"/>
  <c r="C75" i="14"/>
  <c r="H75" i="14" s="1"/>
  <c r="D75" i="14"/>
  <c r="F75" i="14" s="1"/>
  <c r="G75" i="14" s="1"/>
  <c r="B75" i="14"/>
  <c r="E75" i="14"/>
  <c r="O75" i="14" s="1"/>
  <c r="P74" i="14"/>
  <c r="M74" i="14"/>
  <c r="N74" i="14" s="1"/>
  <c r="R74" i="14"/>
  <c r="S74" i="14" s="1"/>
  <c r="T74" i="14" s="1"/>
  <c r="J51" i="14"/>
  <c r="I52" i="14" s="1"/>
  <c r="K52" i="14" s="1"/>
  <c r="L52" i="14" s="1"/>
  <c r="U52" i="14" s="1"/>
  <c r="B21" i="32"/>
  <c r="W50" i="48" l="1"/>
  <c r="X50" i="48" s="1"/>
  <c r="W50" i="14"/>
  <c r="W51" i="48"/>
  <c r="X51" i="48" s="1"/>
  <c r="Y51" i="48" s="1"/>
  <c r="W51" i="14"/>
  <c r="W52" i="48"/>
  <c r="X52" i="48" s="1"/>
  <c r="Y52" i="48" s="1"/>
  <c r="W52" i="14"/>
  <c r="V87" i="47"/>
  <c r="Z87" i="47"/>
  <c r="V88" i="47"/>
  <c r="Z88" i="47"/>
  <c r="Y50" i="48"/>
  <c r="V52" i="14"/>
  <c r="W52" i="47"/>
  <c r="X52" i="47" s="1"/>
  <c r="Y52" i="47" s="1"/>
  <c r="V50" i="14"/>
  <c r="W50" i="47"/>
  <c r="X50" i="47" s="1"/>
  <c r="Y50" i="47" s="1"/>
  <c r="V51" i="14"/>
  <c r="W51" i="47"/>
  <c r="X51" i="47" s="1"/>
  <c r="Y51" i="47" s="1"/>
  <c r="J88" i="47"/>
  <c r="I89" i="47" s="1"/>
  <c r="Z49" i="41"/>
  <c r="AA49" i="41" s="1"/>
  <c r="B22" i="42"/>
  <c r="B44" i="42"/>
  <c r="B46" i="42"/>
  <c r="B45" i="42"/>
  <c r="Y52" i="41"/>
  <c r="Y52" i="42"/>
  <c r="Y51" i="41"/>
  <c r="Y51" i="42"/>
  <c r="Y50" i="41"/>
  <c r="Y50" i="42"/>
  <c r="J122" i="42"/>
  <c r="I123" i="42" s="1"/>
  <c r="K123" i="42" s="1"/>
  <c r="L123" i="42" s="1"/>
  <c r="K81" i="42"/>
  <c r="L81" i="42" s="1"/>
  <c r="B2" i="32"/>
  <c r="B22" i="32" s="1"/>
  <c r="D22" i="32" s="1"/>
  <c r="F3" i="32" s="1"/>
  <c r="B29" i="34"/>
  <c r="D5" i="34" s="1"/>
  <c r="B22" i="41"/>
  <c r="B45" i="41"/>
  <c r="B44" i="41"/>
  <c r="B46" i="41"/>
  <c r="J83" i="41"/>
  <c r="I84" i="41" s="1"/>
  <c r="K84" i="41" s="1"/>
  <c r="L84" i="41" s="1"/>
  <c r="J125" i="41"/>
  <c r="I126" i="41" s="1"/>
  <c r="R50" i="32"/>
  <c r="S50" i="32" s="1"/>
  <c r="T50" i="32" s="1"/>
  <c r="R59" i="32"/>
  <c r="S59" i="32" s="1"/>
  <c r="R86" i="32"/>
  <c r="S86" i="32" s="1"/>
  <c r="R70" i="32"/>
  <c r="S70" i="32" s="1"/>
  <c r="R54" i="32"/>
  <c r="S54" i="32" s="1"/>
  <c r="T54" i="32" s="1"/>
  <c r="R71" i="32"/>
  <c r="S71" i="32" s="1"/>
  <c r="R63" i="32"/>
  <c r="S63" i="32" s="1"/>
  <c r="R85" i="32"/>
  <c r="S85" i="32" s="1"/>
  <c r="R77" i="32"/>
  <c r="S77" i="32" s="1"/>
  <c r="T77" i="32" s="1"/>
  <c r="R69" i="32"/>
  <c r="S69" i="32" s="1"/>
  <c r="R61" i="32"/>
  <c r="S61" i="32" s="1"/>
  <c r="R53" i="32"/>
  <c r="S53" i="32" s="1"/>
  <c r="R55" i="32"/>
  <c r="S55" i="32" s="1"/>
  <c r="R67" i="32"/>
  <c r="S67" i="32" s="1"/>
  <c r="R87" i="32"/>
  <c r="S87" i="32" s="1"/>
  <c r="R78" i="32"/>
  <c r="S78" i="32" s="1"/>
  <c r="R89" i="32"/>
  <c r="S89" i="32" s="1"/>
  <c r="T89" i="32" s="1"/>
  <c r="R51" i="32"/>
  <c r="S51" i="32" s="1"/>
  <c r="R81" i="32"/>
  <c r="S81" i="32" s="1"/>
  <c r="R73" i="32"/>
  <c r="S73" i="32" s="1"/>
  <c r="R57" i="32"/>
  <c r="S57" i="32" s="1"/>
  <c r="T57" i="32" s="1"/>
  <c r="R83" i="32"/>
  <c r="S83" i="32" s="1"/>
  <c r="R88" i="32"/>
  <c r="S88" i="32" s="1"/>
  <c r="R62" i="32"/>
  <c r="S62" i="32" s="1"/>
  <c r="R84" i="32"/>
  <c r="S84" i="32" s="1"/>
  <c r="T84" i="32" s="1"/>
  <c r="R76" i="32"/>
  <c r="S76" i="32" s="1"/>
  <c r="R68" i="32"/>
  <c r="S68" i="32" s="1"/>
  <c r="R60" i="32"/>
  <c r="S60" i="32" s="1"/>
  <c r="R52" i="32"/>
  <c r="S52" i="32" s="1"/>
  <c r="R82" i="32"/>
  <c r="S82" i="32" s="1"/>
  <c r="R58" i="32"/>
  <c r="S58" i="32" s="1"/>
  <c r="R80" i="32"/>
  <c r="S80" i="32" s="1"/>
  <c r="R72" i="32"/>
  <c r="S72" i="32" s="1"/>
  <c r="R64" i="32"/>
  <c r="S64" i="32" s="1"/>
  <c r="R56" i="32"/>
  <c r="S56" i="32" s="1"/>
  <c r="R75" i="32"/>
  <c r="S75" i="32" s="1"/>
  <c r="R65" i="32"/>
  <c r="S65" i="32" s="1"/>
  <c r="T65" i="32" s="1"/>
  <c r="R79" i="32"/>
  <c r="S79" i="32" s="1"/>
  <c r="R66" i="32"/>
  <c r="S66" i="32" s="1"/>
  <c r="R74" i="32"/>
  <c r="S74" i="32" s="1"/>
  <c r="J96" i="32"/>
  <c r="I97" i="32" s="1"/>
  <c r="K97" i="32" s="1"/>
  <c r="Y50" i="32"/>
  <c r="Y52" i="32"/>
  <c r="Y51" i="32"/>
  <c r="Q74" i="14"/>
  <c r="P75" i="14"/>
  <c r="M75" i="14"/>
  <c r="N75" i="14" s="1"/>
  <c r="R75" i="14"/>
  <c r="S75" i="14" s="1"/>
  <c r="T75" i="14" s="1"/>
  <c r="A77" i="14"/>
  <c r="C76" i="14"/>
  <c r="H76" i="14" s="1"/>
  <c r="B76" i="14"/>
  <c r="E76" i="14"/>
  <c r="O76" i="14" s="1"/>
  <c r="D76" i="14"/>
  <c r="F76" i="14" s="1"/>
  <c r="G76" i="14" s="1"/>
  <c r="T64" i="32"/>
  <c r="T55" i="32"/>
  <c r="J52" i="14"/>
  <c r="I53" i="14" s="1"/>
  <c r="T72" i="32" l="1"/>
  <c r="K89" i="47"/>
  <c r="L89" i="47" s="1"/>
  <c r="U89" i="47" s="1"/>
  <c r="D12" i="34"/>
  <c r="D22" i="34"/>
  <c r="D20" i="34"/>
  <c r="D19" i="34"/>
  <c r="D4" i="34"/>
  <c r="D17" i="34"/>
  <c r="D7" i="34"/>
  <c r="D24" i="34"/>
  <c r="D8" i="34"/>
  <c r="D13" i="34"/>
  <c r="D26" i="34"/>
  <c r="D18" i="34"/>
  <c r="D9" i="34"/>
  <c r="D14" i="34"/>
  <c r="D3" i="34"/>
  <c r="D16" i="34"/>
  <c r="D6" i="34"/>
  <c r="D10" i="34"/>
  <c r="D21" i="34"/>
  <c r="D11" i="34"/>
  <c r="D22" i="42"/>
  <c r="B20" i="42"/>
  <c r="D23" i="34"/>
  <c r="D2" i="34"/>
  <c r="D15" i="34"/>
  <c r="D25" i="34"/>
  <c r="J81" i="42"/>
  <c r="I82" i="42" s="1"/>
  <c r="K82" i="42" s="1"/>
  <c r="L82" i="42" s="1"/>
  <c r="J123" i="42"/>
  <c r="I124" i="42" s="1"/>
  <c r="K124" i="42" s="1"/>
  <c r="L124" i="42" s="1"/>
  <c r="D22" i="41"/>
  <c r="B20" i="41"/>
  <c r="J84" i="41"/>
  <c r="I85" i="41" s="1"/>
  <c r="K85" i="41" s="1"/>
  <c r="L85" i="41" s="1"/>
  <c r="K126" i="41"/>
  <c r="L126" i="41" s="1"/>
  <c r="T51" i="32"/>
  <c r="T52" i="32"/>
  <c r="T63" i="32"/>
  <c r="T88" i="32"/>
  <c r="T87" i="32"/>
  <c r="T86" i="32"/>
  <c r="T56" i="32"/>
  <c r="T66" i="32"/>
  <c r="T58" i="32"/>
  <c r="T61" i="32"/>
  <c r="T81" i="32"/>
  <c r="T74" i="32"/>
  <c r="T78" i="32"/>
  <c r="T60" i="32"/>
  <c r="T85" i="32"/>
  <c r="T62" i="32"/>
  <c r="T75" i="32"/>
  <c r="T70" i="32"/>
  <c r="T80" i="32"/>
  <c r="T79" i="32"/>
  <c r="T67" i="32"/>
  <c r="T71" i="32"/>
  <c r="T82" i="32"/>
  <c r="T69" i="32"/>
  <c r="T83" i="32"/>
  <c r="T59" i="32"/>
  <c r="L97" i="32"/>
  <c r="J97" i="32"/>
  <c r="I98" i="32" s="1"/>
  <c r="K98" i="32" s="1"/>
  <c r="L98" i="32" s="1"/>
  <c r="C15" i="25"/>
  <c r="P76" i="14"/>
  <c r="M76" i="14"/>
  <c r="N76" i="14" s="1"/>
  <c r="R76" i="14"/>
  <c r="S76" i="14" s="1"/>
  <c r="T76" i="14" s="1"/>
  <c r="A78" i="14"/>
  <c r="C77" i="14"/>
  <c r="H77" i="14" s="1"/>
  <c r="B77" i="14"/>
  <c r="E77" i="14"/>
  <c r="O77" i="14" s="1"/>
  <c r="D77" i="14"/>
  <c r="F77" i="14" s="1"/>
  <c r="G77" i="14" s="1"/>
  <c r="Q75" i="14"/>
  <c r="T76" i="32"/>
  <c r="T53" i="32"/>
  <c r="T68" i="32"/>
  <c r="T73" i="32"/>
  <c r="K53" i="14"/>
  <c r="L53" i="14" s="1"/>
  <c r="U53" i="14" s="1"/>
  <c r="W53" i="48" l="1"/>
  <c r="X53" i="48" s="1"/>
  <c r="Y53" i="48" s="1"/>
  <c r="W53" i="14"/>
  <c r="V89" i="47"/>
  <c r="B34" i="47" s="1"/>
  <c r="B36" i="47" s="1"/>
  <c r="Z89" i="47"/>
  <c r="B13" i="25"/>
  <c r="D17" i="36" s="1"/>
  <c r="V53" i="14"/>
  <c r="W53" i="47"/>
  <c r="X53" i="47" s="1"/>
  <c r="Y53" i="47" s="1"/>
  <c r="J89" i="47"/>
  <c r="B21" i="42"/>
  <c r="D20" i="42"/>
  <c r="I4" i="43" s="1"/>
  <c r="G20" i="36" s="1"/>
  <c r="O51" i="42"/>
  <c r="F3" i="42"/>
  <c r="O50" i="42"/>
  <c r="O52" i="42"/>
  <c r="O53" i="42"/>
  <c r="O54" i="42"/>
  <c r="O55" i="42"/>
  <c r="O56" i="42"/>
  <c r="O57" i="42"/>
  <c r="O58" i="42"/>
  <c r="O59" i="42"/>
  <c r="O60" i="42"/>
  <c r="O61" i="42"/>
  <c r="O62" i="42"/>
  <c r="O63" i="42"/>
  <c r="O64" i="42"/>
  <c r="O65" i="42"/>
  <c r="O66" i="42"/>
  <c r="O67" i="42"/>
  <c r="O68" i="42"/>
  <c r="O69" i="42"/>
  <c r="O70" i="42"/>
  <c r="O71" i="42"/>
  <c r="O72" i="42"/>
  <c r="O73" i="42"/>
  <c r="O74" i="42"/>
  <c r="O75" i="42"/>
  <c r="O76" i="42"/>
  <c r="O77" i="42"/>
  <c r="O78" i="42"/>
  <c r="O79" i="42"/>
  <c r="O80" i="42"/>
  <c r="O81" i="42"/>
  <c r="O82" i="42"/>
  <c r="O83" i="42"/>
  <c r="O84" i="42"/>
  <c r="O85" i="42"/>
  <c r="O86" i="42"/>
  <c r="O87" i="42"/>
  <c r="O88" i="42"/>
  <c r="O89" i="42"/>
  <c r="B30" i="34"/>
  <c r="B31" i="34"/>
  <c r="Y53" i="41"/>
  <c r="Y53" i="42"/>
  <c r="J124" i="42"/>
  <c r="I125" i="42" s="1"/>
  <c r="K125" i="42" s="1"/>
  <c r="L125" i="42" s="1"/>
  <c r="J82" i="42"/>
  <c r="I83" i="42" s="1"/>
  <c r="B21" i="41"/>
  <c r="D20" i="41"/>
  <c r="F3" i="41"/>
  <c r="O51" i="41"/>
  <c r="O50" i="41"/>
  <c r="O52" i="41"/>
  <c r="O53" i="41"/>
  <c r="O54" i="41"/>
  <c r="O55" i="41"/>
  <c r="O56" i="41"/>
  <c r="O57" i="41"/>
  <c r="O58" i="41"/>
  <c r="O59" i="41"/>
  <c r="O60" i="41"/>
  <c r="O61" i="41"/>
  <c r="O62" i="41"/>
  <c r="O63" i="41"/>
  <c r="O64" i="41"/>
  <c r="O65" i="41"/>
  <c r="O66" i="41"/>
  <c r="O67" i="41"/>
  <c r="O68" i="41"/>
  <c r="O69" i="41"/>
  <c r="O70" i="41"/>
  <c r="O71" i="41"/>
  <c r="O72" i="41"/>
  <c r="O73" i="41"/>
  <c r="O74" i="41"/>
  <c r="O75" i="41"/>
  <c r="O76" i="41"/>
  <c r="O77" i="41"/>
  <c r="O78" i="41"/>
  <c r="O79" i="41"/>
  <c r="O80" i="41"/>
  <c r="O81" i="41"/>
  <c r="O82" i="41"/>
  <c r="O83" i="41"/>
  <c r="O84" i="41"/>
  <c r="O85" i="41"/>
  <c r="O86" i="41"/>
  <c r="O87" i="41"/>
  <c r="O88" i="41"/>
  <c r="O89" i="41"/>
  <c r="J126" i="41"/>
  <c r="I127" i="41" s="1"/>
  <c r="K127" i="41" s="1"/>
  <c r="L127" i="41" s="1"/>
  <c r="J85" i="41"/>
  <c r="I86" i="41" s="1"/>
  <c r="O82" i="32"/>
  <c r="P82" i="32" s="1"/>
  <c r="O58" i="32"/>
  <c r="P58" i="32" s="1"/>
  <c r="O80" i="32"/>
  <c r="P80" i="32" s="1"/>
  <c r="O72" i="32"/>
  <c r="P72" i="32" s="1"/>
  <c r="O64" i="32"/>
  <c r="P64" i="32" s="1"/>
  <c r="O56" i="32"/>
  <c r="P56" i="32" s="1"/>
  <c r="O88" i="32"/>
  <c r="P88" i="32" s="1"/>
  <c r="O62" i="32"/>
  <c r="P62" i="32" s="1"/>
  <c r="O74" i="32"/>
  <c r="P74" i="32" s="1"/>
  <c r="O76" i="32"/>
  <c r="P76" i="32" s="1"/>
  <c r="O60" i="32"/>
  <c r="P60" i="32" s="1"/>
  <c r="O87" i="32"/>
  <c r="P87" i="32" s="1"/>
  <c r="O89" i="32"/>
  <c r="P89" i="32" s="1"/>
  <c r="O75" i="32"/>
  <c r="P75" i="32" s="1"/>
  <c r="O81" i="32"/>
  <c r="P81" i="32" s="1"/>
  <c r="O65" i="32"/>
  <c r="P65" i="32" s="1"/>
  <c r="O79" i="32"/>
  <c r="P79" i="32" s="1"/>
  <c r="O83" i="32"/>
  <c r="P83" i="32" s="1"/>
  <c r="O50" i="32"/>
  <c r="P50" i="32" s="1"/>
  <c r="O59" i="32"/>
  <c r="P59" i="32" s="1"/>
  <c r="O86" i="32"/>
  <c r="P86" i="32" s="1"/>
  <c r="O70" i="32"/>
  <c r="P70" i="32" s="1"/>
  <c r="O54" i="32"/>
  <c r="P54" i="32" s="1"/>
  <c r="O71" i="32"/>
  <c r="P71" i="32" s="1"/>
  <c r="O63" i="32"/>
  <c r="P63" i="32" s="1"/>
  <c r="O85" i="32"/>
  <c r="P85" i="32" s="1"/>
  <c r="O77" i="32"/>
  <c r="P77" i="32" s="1"/>
  <c r="O69" i="32"/>
  <c r="P69" i="32" s="1"/>
  <c r="O61" i="32"/>
  <c r="P61" i="32" s="1"/>
  <c r="O53" i="32"/>
  <c r="P53" i="32" s="1"/>
  <c r="O55" i="32"/>
  <c r="P55" i="32" s="1"/>
  <c r="O67" i="32"/>
  <c r="P67" i="32" s="1"/>
  <c r="O66" i="32"/>
  <c r="P66" i="32" s="1"/>
  <c r="O84" i="32"/>
  <c r="P84" i="32" s="1"/>
  <c r="O68" i="32"/>
  <c r="P68" i="32" s="1"/>
  <c r="O52" i="32"/>
  <c r="P52" i="32" s="1"/>
  <c r="O78" i="32"/>
  <c r="P78" i="32" s="1"/>
  <c r="O51" i="32"/>
  <c r="P51" i="32" s="1"/>
  <c r="O73" i="32"/>
  <c r="P73" i="32" s="1"/>
  <c r="O57" i="32"/>
  <c r="P57" i="32" s="1"/>
  <c r="J98" i="32"/>
  <c r="I99" i="32" s="1"/>
  <c r="K99" i="32" s="1"/>
  <c r="L99" i="32" s="1"/>
  <c r="Y53" i="32"/>
  <c r="A79" i="14"/>
  <c r="D78" i="14"/>
  <c r="F78" i="14" s="1"/>
  <c r="G78" i="14" s="1"/>
  <c r="C78" i="14"/>
  <c r="H78" i="14" s="1"/>
  <c r="B78" i="14"/>
  <c r="E78" i="14"/>
  <c r="O78" i="14" s="1"/>
  <c r="P77" i="14"/>
  <c r="M77" i="14"/>
  <c r="N77" i="14" s="1"/>
  <c r="R77" i="14"/>
  <c r="S77" i="14" s="1"/>
  <c r="T77" i="14" s="1"/>
  <c r="Q76" i="14"/>
  <c r="J53" i="14"/>
  <c r="I54" i="14" s="1"/>
  <c r="H19" i="25" l="1"/>
  <c r="H21" i="25" s="1"/>
  <c r="C6" i="25" s="1"/>
  <c r="C9" i="25" s="1"/>
  <c r="F22" i="42"/>
  <c r="C15" i="43"/>
  <c r="F22" i="41"/>
  <c r="F20" i="41" s="1"/>
  <c r="B37" i="47"/>
  <c r="B38" i="47" s="1"/>
  <c r="B39" i="47"/>
  <c r="B40" i="47" s="1"/>
  <c r="P78" i="42"/>
  <c r="Q78" i="42" s="1"/>
  <c r="P62" i="42"/>
  <c r="Q62" i="42" s="1"/>
  <c r="F20" i="42"/>
  <c r="H22" i="42"/>
  <c r="J22" i="42"/>
  <c r="L22" i="42" s="1"/>
  <c r="P89" i="42"/>
  <c r="Q89" i="42" s="1"/>
  <c r="P85" i="42"/>
  <c r="Q85" i="42" s="1"/>
  <c r="P81" i="42"/>
  <c r="Q81" i="42" s="1"/>
  <c r="P77" i="42"/>
  <c r="Q77" i="42" s="1"/>
  <c r="P73" i="42"/>
  <c r="Q73" i="42" s="1"/>
  <c r="P69" i="42"/>
  <c r="Q69" i="42" s="1"/>
  <c r="P65" i="42"/>
  <c r="Q65" i="42" s="1"/>
  <c r="P61" i="42"/>
  <c r="Q61" i="42" s="1"/>
  <c r="P57" i="42"/>
  <c r="Q57" i="42" s="1"/>
  <c r="P53" i="42"/>
  <c r="Q53" i="42" s="1"/>
  <c r="P51" i="42"/>
  <c r="Q51" i="42" s="1"/>
  <c r="P82" i="42"/>
  <c r="Q82" i="42" s="1"/>
  <c r="P70" i="42"/>
  <c r="Q70" i="42" s="1"/>
  <c r="P58" i="42"/>
  <c r="Q58" i="42" s="1"/>
  <c r="P88" i="42"/>
  <c r="Q88" i="42" s="1"/>
  <c r="P84" i="42"/>
  <c r="Q84" i="42" s="1"/>
  <c r="P80" i="42"/>
  <c r="Q80" i="42" s="1"/>
  <c r="P76" i="42"/>
  <c r="Q76" i="42" s="1"/>
  <c r="P72" i="42"/>
  <c r="Q72" i="42" s="1"/>
  <c r="P68" i="42"/>
  <c r="Q68" i="42" s="1"/>
  <c r="P64" i="42"/>
  <c r="Q64" i="42" s="1"/>
  <c r="P60" i="42"/>
  <c r="Q60" i="42" s="1"/>
  <c r="P56" i="42"/>
  <c r="Q56" i="42" s="1"/>
  <c r="P52" i="42"/>
  <c r="Q52" i="42" s="1"/>
  <c r="P86" i="42"/>
  <c r="Q86" i="42" s="1"/>
  <c r="P74" i="42"/>
  <c r="Q74" i="42" s="1"/>
  <c r="P66" i="42"/>
  <c r="Q66" i="42" s="1"/>
  <c r="P54" i="42"/>
  <c r="Q54" i="42" s="1"/>
  <c r="P87" i="42"/>
  <c r="Q87" i="42" s="1"/>
  <c r="P83" i="42"/>
  <c r="Q83" i="42" s="1"/>
  <c r="P79" i="42"/>
  <c r="Q79" i="42" s="1"/>
  <c r="P75" i="42"/>
  <c r="Q75" i="42" s="1"/>
  <c r="P71" i="42"/>
  <c r="Q71" i="42" s="1"/>
  <c r="P67" i="42"/>
  <c r="Q67" i="42" s="1"/>
  <c r="P63" i="42"/>
  <c r="Q63" i="42" s="1"/>
  <c r="P59" i="42"/>
  <c r="Q59" i="42" s="1"/>
  <c r="P55" i="42"/>
  <c r="Q55" i="42" s="1"/>
  <c r="P50" i="42"/>
  <c r="Q50" i="42" s="1"/>
  <c r="I6" i="43"/>
  <c r="G22" i="36" s="1"/>
  <c r="R50" i="42"/>
  <c r="S50" i="42" s="1"/>
  <c r="T50" i="42" s="1"/>
  <c r="R51" i="42"/>
  <c r="S51" i="42" s="1"/>
  <c r="T51" i="42" s="1"/>
  <c r="R52" i="42"/>
  <c r="S52" i="42" s="1"/>
  <c r="T52" i="42" s="1"/>
  <c r="R53" i="42"/>
  <c r="S53" i="42" s="1"/>
  <c r="T53" i="42" s="1"/>
  <c r="R54" i="42"/>
  <c r="S54" i="42" s="1"/>
  <c r="T54" i="42" s="1"/>
  <c r="R55" i="42"/>
  <c r="S55" i="42" s="1"/>
  <c r="T55" i="42" s="1"/>
  <c r="R56" i="42"/>
  <c r="S56" i="42" s="1"/>
  <c r="T56" i="42" s="1"/>
  <c r="R57" i="42"/>
  <c r="S57" i="42" s="1"/>
  <c r="T57" i="42" s="1"/>
  <c r="R58" i="42"/>
  <c r="S58" i="42" s="1"/>
  <c r="T58" i="42" s="1"/>
  <c r="R59" i="42"/>
  <c r="S59" i="42" s="1"/>
  <c r="T59" i="42" s="1"/>
  <c r="R60" i="42"/>
  <c r="S60" i="42" s="1"/>
  <c r="T60" i="42" s="1"/>
  <c r="R61" i="42"/>
  <c r="S61" i="42" s="1"/>
  <c r="T61" i="42" s="1"/>
  <c r="R62" i="42"/>
  <c r="S62" i="42" s="1"/>
  <c r="T62" i="42" s="1"/>
  <c r="R63" i="42"/>
  <c r="S63" i="42" s="1"/>
  <c r="T63" i="42" s="1"/>
  <c r="R64" i="42"/>
  <c r="S64" i="42" s="1"/>
  <c r="T64" i="42" s="1"/>
  <c r="R65" i="42"/>
  <c r="S65" i="42" s="1"/>
  <c r="T65" i="42" s="1"/>
  <c r="R66" i="42"/>
  <c r="S66" i="42" s="1"/>
  <c r="T66" i="42" s="1"/>
  <c r="R67" i="42"/>
  <c r="S67" i="42" s="1"/>
  <c r="T67" i="42" s="1"/>
  <c r="R68" i="42"/>
  <c r="S68" i="42" s="1"/>
  <c r="T68" i="42" s="1"/>
  <c r="R69" i="42"/>
  <c r="S69" i="42" s="1"/>
  <c r="T69" i="42" s="1"/>
  <c r="R70" i="42"/>
  <c r="S70" i="42" s="1"/>
  <c r="T70" i="42" s="1"/>
  <c r="R71" i="42"/>
  <c r="S71" i="42" s="1"/>
  <c r="T71" i="42" s="1"/>
  <c r="R72" i="42"/>
  <c r="S72" i="42" s="1"/>
  <c r="T72" i="42" s="1"/>
  <c r="R73" i="42"/>
  <c r="S73" i="42" s="1"/>
  <c r="T73" i="42" s="1"/>
  <c r="R74" i="42"/>
  <c r="S74" i="42" s="1"/>
  <c r="T74" i="42" s="1"/>
  <c r="R75" i="42"/>
  <c r="S75" i="42" s="1"/>
  <c r="T75" i="42" s="1"/>
  <c r="R76" i="42"/>
  <c r="S76" i="42" s="1"/>
  <c r="T76" i="42" s="1"/>
  <c r="R77" i="42"/>
  <c r="S77" i="42" s="1"/>
  <c r="T77" i="42" s="1"/>
  <c r="R78" i="42"/>
  <c r="S78" i="42" s="1"/>
  <c r="T78" i="42" s="1"/>
  <c r="R79" i="42"/>
  <c r="S79" i="42" s="1"/>
  <c r="T79" i="42" s="1"/>
  <c r="R80" i="42"/>
  <c r="S80" i="42" s="1"/>
  <c r="T80" i="42" s="1"/>
  <c r="R81" i="42"/>
  <c r="S81" i="42" s="1"/>
  <c r="T81" i="42" s="1"/>
  <c r="R82" i="42"/>
  <c r="S82" i="42" s="1"/>
  <c r="T82" i="42" s="1"/>
  <c r="R83" i="42"/>
  <c r="R84" i="42"/>
  <c r="S84" i="42" s="1"/>
  <c r="T84" i="42" s="1"/>
  <c r="R85" i="42"/>
  <c r="S85" i="42" s="1"/>
  <c r="T85" i="42" s="1"/>
  <c r="R86" i="42"/>
  <c r="S86" i="42" s="1"/>
  <c r="T86" i="42" s="1"/>
  <c r="R87" i="42"/>
  <c r="S87" i="42" s="1"/>
  <c r="T87" i="42" s="1"/>
  <c r="R88" i="42"/>
  <c r="S88" i="42" s="1"/>
  <c r="T88" i="42" s="1"/>
  <c r="R89" i="42"/>
  <c r="S89" i="42" s="1"/>
  <c r="T89" i="42" s="1"/>
  <c r="B33" i="34"/>
  <c r="K83" i="42"/>
  <c r="L83" i="42" s="1"/>
  <c r="J125" i="42"/>
  <c r="I126" i="42" s="1"/>
  <c r="I4" i="24"/>
  <c r="C20" i="36" s="1"/>
  <c r="P83" i="41"/>
  <c r="Q83" i="41" s="1"/>
  <c r="P71" i="41"/>
  <c r="Q71" i="41" s="1"/>
  <c r="P59" i="41"/>
  <c r="Q59" i="41" s="1"/>
  <c r="P55" i="41"/>
  <c r="Q55" i="41" s="1"/>
  <c r="P86" i="41"/>
  <c r="Q86" i="41" s="1"/>
  <c r="P82" i="41"/>
  <c r="Q82" i="41" s="1"/>
  <c r="P78" i="41"/>
  <c r="Q78" i="41" s="1"/>
  <c r="P74" i="41"/>
  <c r="Q74" i="41" s="1"/>
  <c r="P70" i="41"/>
  <c r="Q70" i="41" s="1"/>
  <c r="P66" i="41"/>
  <c r="Q66" i="41" s="1"/>
  <c r="P62" i="41"/>
  <c r="Q62" i="41" s="1"/>
  <c r="P58" i="41"/>
  <c r="Q58" i="41" s="1"/>
  <c r="P54" i="41"/>
  <c r="Q54" i="41" s="1"/>
  <c r="P51" i="41"/>
  <c r="Q51" i="41" s="1"/>
  <c r="P87" i="41"/>
  <c r="Q87" i="41" s="1"/>
  <c r="P79" i="41"/>
  <c r="Q79" i="41" s="1"/>
  <c r="P67" i="41"/>
  <c r="Q67" i="41" s="1"/>
  <c r="P50" i="41"/>
  <c r="Q50" i="41" s="1"/>
  <c r="P89" i="41"/>
  <c r="Q89" i="41" s="1"/>
  <c r="P85" i="41"/>
  <c r="Q85" i="41" s="1"/>
  <c r="P81" i="41"/>
  <c r="Q81" i="41" s="1"/>
  <c r="P77" i="41"/>
  <c r="Q77" i="41" s="1"/>
  <c r="P73" i="41"/>
  <c r="Q73" i="41" s="1"/>
  <c r="P69" i="41"/>
  <c r="Q69" i="41" s="1"/>
  <c r="P65" i="41"/>
  <c r="Q65" i="41" s="1"/>
  <c r="P61" i="41"/>
  <c r="Q61" i="41" s="1"/>
  <c r="P57" i="41"/>
  <c r="Q57" i="41" s="1"/>
  <c r="P53" i="41"/>
  <c r="Q53" i="41" s="1"/>
  <c r="H22" i="41"/>
  <c r="R50" i="41"/>
  <c r="S50" i="41" s="1"/>
  <c r="T50" i="41" s="1"/>
  <c r="R51" i="41"/>
  <c r="S51" i="41" s="1"/>
  <c r="T51" i="41" s="1"/>
  <c r="I6" i="24"/>
  <c r="C22" i="36" s="1"/>
  <c r="R52" i="41"/>
  <c r="S52" i="41" s="1"/>
  <c r="T52" i="41" s="1"/>
  <c r="R53" i="41"/>
  <c r="S53" i="41" s="1"/>
  <c r="T53" i="41" s="1"/>
  <c r="R54" i="41"/>
  <c r="S54" i="41" s="1"/>
  <c r="T54" i="41" s="1"/>
  <c r="R55" i="41"/>
  <c r="S55" i="41" s="1"/>
  <c r="T55" i="41" s="1"/>
  <c r="R56" i="41"/>
  <c r="S56" i="41" s="1"/>
  <c r="T56" i="41" s="1"/>
  <c r="R57" i="41"/>
  <c r="R58" i="41"/>
  <c r="S58" i="41" s="1"/>
  <c r="T58" i="41" s="1"/>
  <c r="R59" i="41"/>
  <c r="S59" i="41" s="1"/>
  <c r="T59" i="41" s="1"/>
  <c r="R60" i="41"/>
  <c r="S60" i="41" s="1"/>
  <c r="T60" i="41" s="1"/>
  <c r="R61" i="41"/>
  <c r="S61" i="41" s="1"/>
  <c r="T61" i="41" s="1"/>
  <c r="R62" i="41"/>
  <c r="S62" i="41" s="1"/>
  <c r="T62" i="41" s="1"/>
  <c r="R63" i="41"/>
  <c r="S63" i="41" s="1"/>
  <c r="T63" i="41" s="1"/>
  <c r="R64" i="41"/>
  <c r="S64" i="41" s="1"/>
  <c r="T64" i="41" s="1"/>
  <c r="R65" i="41"/>
  <c r="S65" i="41" s="1"/>
  <c r="T65" i="41" s="1"/>
  <c r="R66" i="41"/>
  <c r="S66" i="41" s="1"/>
  <c r="T66" i="41" s="1"/>
  <c r="R67" i="41"/>
  <c r="S67" i="41" s="1"/>
  <c r="T67" i="41" s="1"/>
  <c r="R68" i="41"/>
  <c r="S68" i="41" s="1"/>
  <c r="T68" i="41" s="1"/>
  <c r="R69" i="41"/>
  <c r="S69" i="41" s="1"/>
  <c r="T69" i="41" s="1"/>
  <c r="R70" i="41"/>
  <c r="S70" i="41" s="1"/>
  <c r="T70" i="41" s="1"/>
  <c r="R71" i="41"/>
  <c r="S71" i="41" s="1"/>
  <c r="T71" i="41" s="1"/>
  <c r="R72" i="41"/>
  <c r="S72" i="41" s="1"/>
  <c r="T72" i="41" s="1"/>
  <c r="R73" i="41"/>
  <c r="S73" i="41" s="1"/>
  <c r="T73" i="41" s="1"/>
  <c r="R74" i="41"/>
  <c r="S74" i="41" s="1"/>
  <c r="T74" i="41" s="1"/>
  <c r="R75" i="41"/>
  <c r="S75" i="41" s="1"/>
  <c r="T75" i="41" s="1"/>
  <c r="R76" i="41"/>
  <c r="S76" i="41" s="1"/>
  <c r="T76" i="41" s="1"/>
  <c r="R77" i="41"/>
  <c r="S77" i="41" s="1"/>
  <c r="T77" i="41" s="1"/>
  <c r="R78" i="41"/>
  <c r="S78" i="41" s="1"/>
  <c r="T78" i="41" s="1"/>
  <c r="R79" i="41"/>
  <c r="S79" i="41" s="1"/>
  <c r="T79" i="41" s="1"/>
  <c r="R80" i="41"/>
  <c r="S80" i="41" s="1"/>
  <c r="T80" i="41" s="1"/>
  <c r="R81" i="41"/>
  <c r="S81" i="41" s="1"/>
  <c r="T81" i="41" s="1"/>
  <c r="R82" i="41"/>
  <c r="S82" i="41" s="1"/>
  <c r="T82" i="41" s="1"/>
  <c r="R83" i="41"/>
  <c r="S83" i="41" s="1"/>
  <c r="T83" i="41" s="1"/>
  <c r="R84" i="41"/>
  <c r="S84" i="41" s="1"/>
  <c r="T84" i="41" s="1"/>
  <c r="R85" i="41"/>
  <c r="S85" i="41" s="1"/>
  <c r="T85" i="41" s="1"/>
  <c r="R86" i="41"/>
  <c r="S86" i="41" s="1"/>
  <c r="T86" i="41" s="1"/>
  <c r="R87" i="41"/>
  <c r="S87" i="41" s="1"/>
  <c r="T87" i="41" s="1"/>
  <c r="R88" i="41"/>
  <c r="S88" i="41" s="1"/>
  <c r="T88" i="41" s="1"/>
  <c r="R89" i="41"/>
  <c r="S89" i="41" s="1"/>
  <c r="T89" i="41" s="1"/>
  <c r="P75" i="41"/>
  <c r="Q75" i="41" s="1"/>
  <c r="P63" i="41"/>
  <c r="Q63" i="41" s="1"/>
  <c r="P88" i="41"/>
  <c r="Q88" i="41" s="1"/>
  <c r="P84" i="41"/>
  <c r="Q84" i="41" s="1"/>
  <c r="P80" i="41"/>
  <c r="Q80" i="41" s="1"/>
  <c r="P76" i="41"/>
  <c r="Q76" i="41" s="1"/>
  <c r="P72" i="41"/>
  <c r="Q72" i="41" s="1"/>
  <c r="U72" i="41" s="1"/>
  <c r="AB72" i="41" s="1"/>
  <c r="P68" i="41"/>
  <c r="Q68" i="41" s="1"/>
  <c r="P64" i="41"/>
  <c r="Q64" i="41" s="1"/>
  <c r="P60" i="41"/>
  <c r="Q60" i="41" s="1"/>
  <c r="P56" i="41"/>
  <c r="Q56" i="41" s="1"/>
  <c r="P52" i="41"/>
  <c r="Q52" i="41" s="1"/>
  <c r="J127" i="41"/>
  <c r="I128" i="41" s="1"/>
  <c r="K128" i="41" s="1"/>
  <c r="L128" i="41" s="1"/>
  <c r="K86" i="41"/>
  <c r="L86" i="41" s="1"/>
  <c r="F22" i="32"/>
  <c r="F20" i="32" s="1"/>
  <c r="F21" i="32" s="1"/>
  <c r="J99" i="32"/>
  <c r="I100" i="32" s="1"/>
  <c r="K100" i="32" s="1"/>
  <c r="L100" i="32" s="1"/>
  <c r="Q77" i="14"/>
  <c r="P78" i="14"/>
  <c r="M78" i="14"/>
  <c r="N78" i="14" s="1"/>
  <c r="R78" i="14"/>
  <c r="S78" i="14" s="1"/>
  <c r="T78" i="14" s="1"/>
  <c r="A80" i="14"/>
  <c r="C79" i="14"/>
  <c r="H79" i="14" s="1"/>
  <c r="E79" i="14"/>
  <c r="O79" i="14" s="1"/>
  <c r="D79" i="14"/>
  <c r="F79" i="14" s="1"/>
  <c r="G79" i="14" s="1"/>
  <c r="B79" i="14"/>
  <c r="K54" i="14"/>
  <c r="L54" i="14" s="1"/>
  <c r="U54" i="14" s="1"/>
  <c r="J22" i="41" l="1"/>
  <c r="L22" i="41" s="1"/>
  <c r="W54" i="48"/>
  <c r="X54" i="48" s="1"/>
  <c r="W54" i="14"/>
  <c r="U63" i="41"/>
  <c r="AB63" i="41" s="1"/>
  <c r="U56" i="41"/>
  <c r="AB56" i="41" s="1"/>
  <c r="Y54" i="48"/>
  <c r="V54" i="14"/>
  <c r="W54" i="47"/>
  <c r="X54" i="47" s="1"/>
  <c r="D37" i="47"/>
  <c r="D38" i="47"/>
  <c r="D39" i="47"/>
  <c r="I8" i="45" s="1"/>
  <c r="D40" i="47"/>
  <c r="I9" i="45" s="1"/>
  <c r="E25" i="36" s="1"/>
  <c r="C23" i="25"/>
  <c r="B4" i="32"/>
  <c r="B23" i="32" s="1"/>
  <c r="U64" i="41"/>
  <c r="U80" i="41"/>
  <c r="U75" i="41"/>
  <c r="AB75" i="41" s="1"/>
  <c r="U59" i="42"/>
  <c r="U75" i="42"/>
  <c r="U52" i="42"/>
  <c r="U63" i="42"/>
  <c r="AB63" i="42" s="1"/>
  <c r="U79" i="42"/>
  <c r="U56" i="42"/>
  <c r="U51" i="42"/>
  <c r="U50" i="42"/>
  <c r="U67" i="42"/>
  <c r="U74" i="42"/>
  <c r="U60" i="42"/>
  <c r="U76" i="42"/>
  <c r="AB76" i="42" s="1"/>
  <c r="U58" i="42"/>
  <c r="U53" i="42"/>
  <c r="U69" i="42"/>
  <c r="U55" i="42"/>
  <c r="U71" i="42"/>
  <c r="U64" i="42"/>
  <c r="U80" i="42"/>
  <c r="U70" i="42"/>
  <c r="U57" i="42"/>
  <c r="U73" i="42"/>
  <c r="U62" i="42"/>
  <c r="U54" i="42"/>
  <c r="U68" i="42"/>
  <c r="U82" i="42"/>
  <c r="U61" i="42"/>
  <c r="U77" i="42"/>
  <c r="U78" i="42"/>
  <c r="U66" i="42"/>
  <c r="U72" i="42"/>
  <c r="U65" i="42"/>
  <c r="U81" i="42"/>
  <c r="U60" i="41"/>
  <c r="U76" i="41"/>
  <c r="U52" i="41"/>
  <c r="AB52" i="41" s="1"/>
  <c r="U68" i="41"/>
  <c r="U84" i="41"/>
  <c r="U73" i="41"/>
  <c r="U62" i="41"/>
  <c r="U78" i="41"/>
  <c r="U59" i="41"/>
  <c r="U61" i="41"/>
  <c r="U77" i="41"/>
  <c r="U50" i="41"/>
  <c r="U51" i="41"/>
  <c r="U66" i="41"/>
  <c r="U82" i="41"/>
  <c r="U71" i="41"/>
  <c r="U65" i="41"/>
  <c r="U81" i="41"/>
  <c r="U67" i="41"/>
  <c r="U54" i="41"/>
  <c r="U70" i="41"/>
  <c r="U86" i="41"/>
  <c r="U83" i="41"/>
  <c r="U53" i="41"/>
  <c r="U69" i="41"/>
  <c r="U85" i="41"/>
  <c r="U79" i="41"/>
  <c r="U58" i="41"/>
  <c r="U74" i="41"/>
  <c r="U55" i="41"/>
  <c r="V63" i="41"/>
  <c r="V63" i="42"/>
  <c r="V76" i="42"/>
  <c r="I7" i="43"/>
  <c r="G23" i="36" s="1"/>
  <c r="O93" i="42"/>
  <c r="O95" i="42"/>
  <c r="O94" i="42"/>
  <c r="O96" i="42"/>
  <c r="O97" i="42"/>
  <c r="O98" i="42"/>
  <c r="O99" i="42"/>
  <c r="O100" i="42"/>
  <c r="O101" i="42"/>
  <c r="O102" i="42"/>
  <c r="O103" i="42"/>
  <c r="O104" i="42"/>
  <c r="O105" i="42"/>
  <c r="O106" i="42"/>
  <c r="O107" i="42"/>
  <c r="O108" i="42"/>
  <c r="O109" i="42"/>
  <c r="O110" i="42"/>
  <c r="O111" i="42"/>
  <c r="O112" i="42"/>
  <c r="O113" i="42"/>
  <c r="O114" i="42"/>
  <c r="O115" i="42"/>
  <c r="O116" i="42"/>
  <c r="O117" i="42"/>
  <c r="O118" i="42"/>
  <c r="O119" i="42"/>
  <c r="O120" i="42"/>
  <c r="O121" i="42"/>
  <c r="O122" i="42"/>
  <c r="O123" i="42"/>
  <c r="O124" i="42"/>
  <c r="O125" i="42"/>
  <c r="O126" i="42"/>
  <c r="O127" i="42"/>
  <c r="O128" i="42"/>
  <c r="O129" i="42"/>
  <c r="O130" i="42"/>
  <c r="O131" i="42"/>
  <c r="O132" i="42"/>
  <c r="S83" i="42"/>
  <c r="T83" i="42" s="1"/>
  <c r="U83" i="42" s="1"/>
  <c r="AB83" i="42" s="1"/>
  <c r="J20" i="42"/>
  <c r="L20" i="42" s="1"/>
  <c r="H20" i="42"/>
  <c r="I3" i="43" s="1"/>
  <c r="G19" i="36" s="1"/>
  <c r="F21" i="42"/>
  <c r="Y54" i="41"/>
  <c r="Y54" i="42"/>
  <c r="J83" i="42"/>
  <c r="I84" i="42" s="1"/>
  <c r="K126" i="42"/>
  <c r="L126" i="42" s="1"/>
  <c r="V52" i="41"/>
  <c r="V72" i="41"/>
  <c r="S57" i="41"/>
  <c r="T57" i="41" s="1"/>
  <c r="U57" i="41" s="1"/>
  <c r="AB57" i="41" s="1"/>
  <c r="O93" i="41"/>
  <c r="O95" i="41"/>
  <c r="O94" i="41"/>
  <c r="P94" i="41" s="1"/>
  <c r="Q94" i="41" s="1"/>
  <c r="O97" i="41"/>
  <c r="O96" i="41"/>
  <c r="O98" i="41"/>
  <c r="O99" i="41"/>
  <c r="O100" i="41"/>
  <c r="O101" i="41"/>
  <c r="O102" i="41"/>
  <c r="O103" i="41"/>
  <c r="O104" i="41"/>
  <c r="O105" i="41"/>
  <c r="O106" i="41"/>
  <c r="O107" i="41"/>
  <c r="O108" i="41"/>
  <c r="O109" i="41"/>
  <c r="O110" i="41"/>
  <c r="O111" i="41"/>
  <c r="O112" i="41"/>
  <c r="O113" i="41"/>
  <c r="O114" i="41"/>
  <c r="O115" i="41"/>
  <c r="O116" i="41"/>
  <c r="O117" i="41"/>
  <c r="O118" i="41"/>
  <c r="O119" i="41"/>
  <c r="O120" i="41"/>
  <c r="O121" i="41"/>
  <c r="O122" i="41"/>
  <c r="O123" i="41"/>
  <c r="O124" i="41"/>
  <c r="O125" i="41"/>
  <c r="O126" i="41"/>
  <c r="O127" i="41"/>
  <c r="O128" i="41"/>
  <c r="O129" i="41"/>
  <c r="O130" i="41"/>
  <c r="O131" i="41"/>
  <c r="O132" i="41"/>
  <c r="I7" i="24"/>
  <c r="C23" i="36" s="1"/>
  <c r="H20" i="41"/>
  <c r="F21" i="41"/>
  <c r="J20" i="41"/>
  <c r="L20" i="41" s="1"/>
  <c r="H22" i="32"/>
  <c r="O95" i="32" s="1"/>
  <c r="J22" i="32"/>
  <c r="L22" i="32" s="1"/>
  <c r="J86" i="41"/>
  <c r="I87" i="41" s="1"/>
  <c r="J128" i="41"/>
  <c r="I129" i="41" s="1"/>
  <c r="D8" i="36"/>
  <c r="J21" i="32"/>
  <c r="J20" i="32"/>
  <c r="L20" i="32" s="1"/>
  <c r="H20" i="32"/>
  <c r="J100" i="32"/>
  <c r="I101" i="32" s="1"/>
  <c r="K101" i="32" s="1"/>
  <c r="Y54" i="32"/>
  <c r="Q78" i="14"/>
  <c r="P79" i="14"/>
  <c r="M79" i="14"/>
  <c r="N79" i="14" s="1"/>
  <c r="R79" i="14"/>
  <c r="S79" i="14" s="1"/>
  <c r="T79" i="14" s="1"/>
  <c r="A81" i="14"/>
  <c r="C80" i="14"/>
  <c r="H80" i="14" s="1"/>
  <c r="E80" i="14"/>
  <c r="O80" i="14" s="1"/>
  <c r="B80" i="14"/>
  <c r="D80" i="14"/>
  <c r="F80" i="14" s="1"/>
  <c r="G80" i="14" s="1"/>
  <c r="J54" i="14"/>
  <c r="I55" i="14" s="1"/>
  <c r="K55" i="14" s="1"/>
  <c r="L55" i="14" s="1"/>
  <c r="U55" i="14" s="1"/>
  <c r="V56" i="41" l="1"/>
  <c r="V75" i="41"/>
  <c r="W55" i="48"/>
  <c r="X55" i="48" s="1"/>
  <c r="Y55" i="48" s="1"/>
  <c r="W55" i="14"/>
  <c r="V79" i="41"/>
  <c r="AB79" i="41"/>
  <c r="V83" i="41"/>
  <c r="AB83" i="41"/>
  <c r="V67" i="41"/>
  <c r="AB67" i="41"/>
  <c r="V82" i="41"/>
  <c r="AB82" i="41"/>
  <c r="V77" i="41"/>
  <c r="AB77" i="41"/>
  <c r="V62" i="41"/>
  <c r="AB62" i="41"/>
  <c r="V55" i="41"/>
  <c r="AB55" i="41"/>
  <c r="V85" i="41"/>
  <c r="AB85" i="41"/>
  <c r="V86" i="41"/>
  <c r="AB86" i="41"/>
  <c r="V81" i="41"/>
  <c r="AB81" i="41"/>
  <c r="V66" i="41"/>
  <c r="AB66" i="41"/>
  <c r="V61" i="41"/>
  <c r="AB61" i="41"/>
  <c r="V73" i="41"/>
  <c r="AB73" i="41"/>
  <c r="V76" i="41"/>
  <c r="AB76" i="41"/>
  <c r="V80" i="41"/>
  <c r="AB80" i="41"/>
  <c r="V74" i="41"/>
  <c r="AB74" i="41"/>
  <c r="V69" i="41"/>
  <c r="AB69" i="41"/>
  <c r="V70" i="41"/>
  <c r="AB70" i="41"/>
  <c r="V65" i="41"/>
  <c r="AB65" i="41"/>
  <c r="V51" i="41"/>
  <c r="AB51" i="41"/>
  <c r="V59" i="41"/>
  <c r="AB59" i="41"/>
  <c r="V84" i="41"/>
  <c r="AB84" i="41"/>
  <c r="V60" i="41"/>
  <c r="AB60" i="41"/>
  <c r="V64" i="41"/>
  <c r="AB64" i="41"/>
  <c r="V58" i="41"/>
  <c r="AB58" i="41"/>
  <c r="V53" i="41"/>
  <c r="AB53" i="41"/>
  <c r="V54" i="41"/>
  <c r="AB54" i="41"/>
  <c r="V71" i="41"/>
  <c r="AB71" i="41"/>
  <c r="V50" i="41"/>
  <c r="AB50" i="41"/>
  <c r="V78" i="41"/>
  <c r="AB78" i="41"/>
  <c r="V68" i="41"/>
  <c r="AB68" i="41"/>
  <c r="V73" i="42"/>
  <c r="AB73" i="42"/>
  <c r="V56" i="42"/>
  <c r="AB56" i="42"/>
  <c r="V81" i="42"/>
  <c r="AB81" i="42"/>
  <c r="V78" i="42"/>
  <c r="AB78" i="42"/>
  <c r="V68" i="42"/>
  <c r="AB68" i="42"/>
  <c r="V57" i="42"/>
  <c r="AB57" i="42"/>
  <c r="V71" i="42"/>
  <c r="AB71" i="42"/>
  <c r="V58" i="42"/>
  <c r="AB58" i="42"/>
  <c r="V67" i="42"/>
  <c r="AB67" i="42"/>
  <c r="V79" i="42"/>
  <c r="AB79" i="42"/>
  <c r="V59" i="42"/>
  <c r="AB59" i="42"/>
  <c r="V82" i="42"/>
  <c r="AB82" i="42"/>
  <c r="V53" i="42"/>
  <c r="AB53" i="42"/>
  <c r="V74" i="42"/>
  <c r="AB74" i="42"/>
  <c r="V65" i="42"/>
  <c r="AB65" i="42"/>
  <c r="V77" i="42"/>
  <c r="AB77" i="42"/>
  <c r="V54" i="42"/>
  <c r="AB54" i="42"/>
  <c r="V70" i="42"/>
  <c r="AB70" i="42"/>
  <c r="V55" i="42"/>
  <c r="AB55" i="42"/>
  <c r="V50" i="42"/>
  <c r="AB50" i="42"/>
  <c r="V66" i="42"/>
  <c r="AB66" i="42"/>
  <c r="V64" i="42"/>
  <c r="AB64" i="42"/>
  <c r="V75" i="42"/>
  <c r="AB75" i="42"/>
  <c r="V72" i="42"/>
  <c r="AB72" i="42"/>
  <c r="V61" i="42"/>
  <c r="AB61" i="42"/>
  <c r="V62" i="42"/>
  <c r="AB62" i="42"/>
  <c r="V80" i="42"/>
  <c r="AB80" i="42"/>
  <c r="V69" i="42"/>
  <c r="AB69" i="42"/>
  <c r="V60" i="42"/>
  <c r="AB60" i="42"/>
  <c r="V51" i="42"/>
  <c r="AB51" i="42"/>
  <c r="V52" i="42"/>
  <c r="AB52" i="42"/>
  <c r="I10" i="45"/>
  <c r="E26" i="36" s="1"/>
  <c r="E24" i="36"/>
  <c r="V55" i="14"/>
  <c r="W55" i="47"/>
  <c r="X55" i="47" s="1"/>
  <c r="Y55" i="47" s="1"/>
  <c r="Y54" i="47"/>
  <c r="B32" i="32"/>
  <c r="J32" i="32" s="1"/>
  <c r="B24" i="32"/>
  <c r="B34" i="32" s="1"/>
  <c r="J34" i="32" s="1"/>
  <c r="V83" i="42"/>
  <c r="V57" i="41"/>
  <c r="P123" i="42"/>
  <c r="Q123" i="42" s="1"/>
  <c r="P119" i="42"/>
  <c r="Q119" i="42" s="1"/>
  <c r="P115" i="42"/>
  <c r="Q115" i="42" s="1"/>
  <c r="P111" i="42"/>
  <c r="Q111" i="42" s="1"/>
  <c r="P107" i="42"/>
  <c r="Q107" i="42" s="1"/>
  <c r="P103" i="42"/>
  <c r="Q103" i="42" s="1"/>
  <c r="P99" i="42"/>
  <c r="Q99" i="42" s="1"/>
  <c r="P94" i="42"/>
  <c r="Q94" i="42" s="1"/>
  <c r="J21" i="42"/>
  <c r="R95" i="42"/>
  <c r="S95" i="42" s="1"/>
  <c r="T95" i="42" s="1"/>
  <c r="R96" i="42"/>
  <c r="S96" i="42" s="1"/>
  <c r="T96" i="42" s="1"/>
  <c r="R93" i="42"/>
  <c r="S93" i="42" s="1"/>
  <c r="T93" i="42" s="1"/>
  <c r="I5" i="43"/>
  <c r="G21" i="36" s="1"/>
  <c r="R94" i="42"/>
  <c r="S94" i="42" s="1"/>
  <c r="T94" i="42" s="1"/>
  <c r="R97" i="42"/>
  <c r="S97" i="42" s="1"/>
  <c r="T97" i="42" s="1"/>
  <c r="R98" i="42"/>
  <c r="S98" i="42" s="1"/>
  <c r="T98" i="42" s="1"/>
  <c r="R99" i="42"/>
  <c r="S99" i="42" s="1"/>
  <c r="T99" i="42" s="1"/>
  <c r="R100" i="42"/>
  <c r="S100" i="42" s="1"/>
  <c r="T100" i="42" s="1"/>
  <c r="R101" i="42"/>
  <c r="S101" i="42" s="1"/>
  <c r="T101" i="42" s="1"/>
  <c r="R102" i="42"/>
  <c r="S102" i="42" s="1"/>
  <c r="T102" i="42" s="1"/>
  <c r="R103" i="42"/>
  <c r="S103" i="42" s="1"/>
  <c r="T103" i="42" s="1"/>
  <c r="R104" i="42"/>
  <c r="S104" i="42" s="1"/>
  <c r="T104" i="42" s="1"/>
  <c r="R105" i="42"/>
  <c r="S105" i="42" s="1"/>
  <c r="T105" i="42" s="1"/>
  <c r="R106" i="42"/>
  <c r="S106" i="42" s="1"/>
  <c r="T106" i="42" s="1"/>
  <c r="R107" i="42"/>
  <c r="S107" i="42" s="1"/>
  <c r="T107" i="42" s="1"/>
  <c r="R108" i="42"/>
  <c r="S108" i="42" s="1"/>
  <c r="T108" i="42" s="1"/>
  <c r="R109" i="42"/>
  <c r="S109" i="42" s="1"/>
  <c r="T109" i="42" s="1"/>
  <c r="R110" i="42"/>
  <c r="S110" i="42" s="1"/>
  <c r="T110" i="42" s="1"/>
  <c r="R111" i="42"/>
  <c r="S111" i="42" s="1"/>
  <c r="T111" i="42" s="1"/>
  <c r="R112" i="42"/>
  <c r="S112" i="42" s="1"/>
  <c r="T112" i="42" s="1"/>
  <c r="R113" i="42"/>
  <c r="S113" i="42" s="1"/>
  <c r="T113" i="42" s="1"/>
  <c r="R114" i="42"/>
  <c r="S114" i="42" s="1"/>
  <c r="T114" i="42" s="1"/>
  <c r="R115" i="42"/>
  <c r="S115" i="42" s="1"/>
  <c r="T115" i="42" s="1"/>
  <c r="R116" i="42"/>
  <c r="S116" i="42" s="1"/>
  <c r="T116" i="42" s="1"/>
  <c r="R117" i="42"/>
  <c r="S117" i="42" s="1"/>
  <c r="T117" i="42" s="1"/>
  <c r="R118" i="42"/>
  <c r="S118" i="42" s="1"/>
  <c r="T118" i="42" s="1"/>
  <c r="R119" i="42"/>
  <c r="S119" i="42" s="1"/>
  <c r="T119" i="42" s="1"/>
  <c r="R120" i="42"/>
  <c r="S120" i="42" s="1"/>
  <c r="T120" i="42" s="1"/>
  <c r="R121" i="42"/>
  <c r="S121" i="42" s="1"/>
  <c r="T121" i="42" s="1"/>
  <c r="R122" i="42"/>
  <c r="S122" i="42" s="1"/>
  <c r="T122" i="42" s="1"/>
  <c r="R123" i="42"/>
  <c r="S123" i="42" s="1"/>
  <c r="T123" i="42" s="1"/>
  <c r="R124" i="42"/>
  <c r="S124" i="42" s="1"/>
  <c r="T124" i="42" s="1"/>
  <c r="R125" i="42"/>
  <c r="S125" i="42" s="1"/>
  <c r="T125" i="42" s="1"/>
  <c r="R126" i="42"/>
  <c r="S126" i="42" s="1"/>
  <c r="T126" i="42" s="1"/>
  <c r="R127" i="42"/>
  <c r="S127" i="42" s="1"/>
  <c r="T127" i="42" s="1"/>
  <c r="R128" i="42"/>
  <c r="S128" i="42" s="1"/>
  <c r="T128" i="42" s="1"/>
  <c r="R129" i="42"/>
  <c r="S129" i="42" s="1"/>
  <c r="T129" i="42" s="1"/>
  <c r="R130" i="42"/>
  <c r="S130" i="42" s="1"/>
  <c r="T130" i="42" s="1"/>
  <c r="R131" i="42"/>
  <c r="S131" i="42" s="1"/>
  <c r="T131" i="42" s="1"/>
  <c r="R132" i="42"/>
  <c r="S132" i="42" s="1"/>
  <c r="T132" i="42" s="1"/>
  <c r="P130" i="42"/>
  <c r="Q130" i="42" s="1"/>
  <c r="P126" i="42"/>
  <c r="Q126" i="42" s="1"/>
  <c r="P122" i="42"/>
  <c r="Q122" i="42" s="1"/>
  <c r="P118" i="42"/>
  <c r="Q118" i="42" s="1"/>
  <c r="P114" i="42"/>
  <c r="Q114" i="42" s="1"/>
  <c r="P110" i="42"/>
  <c r="Q110" i="42" s="1"/>
  <c r="P106" i="42"/>
  <c r="Q106" i="42" s="1"/>
  <c r="P102" i="42"/>
  <c r="Q102" i="42" s="1"/>
  <c r="P98" i="42"/>
  <c r="Q98" i="42" s="1"/>
  <c r="P95" i="42"/>
  <c r="Q95" i="42" s="1"/>
  <c r="P127" i="42"/>
  <c r="Q127" i="42" s="1"/>
  <c r="P129" i="42"/>
  <c r="Q129" i="42" s="1"/>
  <c r="P125" i="42"/>
  <c r="Q125" i="42" s="1"/>
  <c r="U125" i="42" s="1"/>
  <c r="P121" i="42"/>
  <c r="Q121" i="42" s="1"/>
  <c r="P117" i="42"/>
  <c r="Q117" i="42" s="1"/>
  <c r="P113" i="42"/>
  <c r="Q113" i="42" s="1"/>
  <c r="P109" i="42"/>
  <c r="Q109" i="42" s="1"/>
  <c r="U109" i="42" s="1"/>
  <c r="P105" i="42"/>
  <c r="Q105" i="42" s="1"/>
  <c r="P101" i="42"/>
  <c r="Q101" i="42" s="1"/>
  <c r="P97" i="42"/>
  <c r="Q97" i="42" s="1"/>
  <c r="P93" i="42"/>
  <c r="Q93" i="42" s="1"/>
  <c r="P131" i="42"/>
  <c r="Q131" i="42" s="1"/>
  <c r="P132" i="42"/>
  <c r="Q132" i="42" s="1"/>
  <c r="P128" i="42"/>
  <c r="Q128" i="42" s="1"/>
  <c r="P124" i="42"/>
  <c r="Q124" i="42" s="1"/>
  <c r="P120" i="42"/>
  <c r="Q120" i="42" s="1"/>
  <c r="P116" i="42"/>
  <c r="Q116" i="42" s="1"/>
  <c r="P112" i="42"/>
  <c r="Q112" i="42" s="1"/>
  <c r="U112" i="42" s="1"/>
  <c r="P108" i="42"/>
  <c r="Q108" i="42" s="1"/>
  <c r="P104" i="42"/>
  <c r="Q104" i="42" s="1"/>
  <c r="P100" i="42"/>
  <c r="Q100" i="42" s="1"/>
  <c r="P96" i="42"/>
  <c r="Q96" i="42" s="1"/>
  <c r="Y55" i="41"/>
  <c r="Y55" i="42"/>
  <c r="J126" i="42"/>
  <c r="I127" i="42" s="1"/>
  <c r="K84" i="42"/>
  <c r="L84" i="42" s="1"/>
  <c r="U84" i="42" s="1"/>
  <c r="AB84" i="42" s="1"/>
  <c r="M76" i="32"/>
  <c r="N76" i="32" s="1"/>
  <c r="M84" i="32"/>
  <c r="N84" i="32" s="1"/>
  <c r="Q84" i="32" s="1"/>
  <c r="M63" i="32"/>
  <c r="N63" i="32" s="1"/>
  <c r="M64" i="32"/>
  <c r="N64" i="32" s="1"/>
  <c r="M89" i="32"/>
  <c r="N89" i="32" s="1"/>
  <c r="O128" i="32"/>
  <c r="P128" i="32" s="1"/>
  <c r="Q128" i="32" s="1"/>
  <c r="M74" i="32"/>
  <c r="N74" i="32" s="1"/>
  <c r="M83" i="32"/>
  <c r="N83" i="32" s="1"/>
  <c r="M70" i="32"/>
  <c r="N70" i="32" s="1"/>
  <c r="M82" i="32"/>
  <c r="N82" i="32" s="1"/>
  <c r="M69" i="32"/>
  <c r="N69" i="32" s="1"/>
  <c r="O107" i="32"/>
  <c r="P107" i="32" s="1"/>
  <c r="Q107" i="32" s="1"/>
  <c r="O130" i="32"/>
  <c r="P130" i="32" s="1"/>
  <c r="Q130" i="32" s="1"/>
  <c r="B25" i="32"/>
  <c r="B26" i="32" s="1"/>
  <c r="J26" i="32" s="1"/>
  <c r="M55" i="32"/>
  <c r="N55" i="32" s="1"/>
  <c r="M60" i="32"/>
  <c r="N60" i="32" s="1"/>
  <c r="M62" i="32"/>
  <c r="N62" i="32" s="1"/>
  <c r="M87" i="32"/>
  <c r="N87" i="32" s="1"/>
  <c r="M73" i="32"/>
  <c r="N73" i="32" s="1"/>
  <c r="M71" i="32"/>
  <c r="N71" i="32" s="1"/>
  <c r="M53" i="32"/>
  <c r="N53" i="32" s="1"/>
  <c r="I3" i="24"/>
  <c r="C19" i="36" s="1"/>
  <c r="M67" i="32"/>
  <c r="N67" i="32" s="1"/>
  <c r="M81" i="32"/>
  <c r="N81" i="32" s="1"/>
  <c r="M88" i="32"/>
  <c r="N88" i="32" s="1"/>
  <c r="M68" i="32"/>
  <c r="N68" i="32" s="1"/>
  <c r="M65" i="32"/>
  <c r="N65" i="32" s="1"/>
  <c r="M50" i="32"/>
  <c r="N50" i="32" s="1"/>
  <c r="M77" i="32"/>
  <c r="N77" i="32" s="1"/>
  <c r="M72" i="32"/>
  <c r="N72" i="32" s="1"/>
  <c r="M75" i="32"/>
  <c r="N75" i="32" s="1"/>
  <c r="M57" i="32"/>
  <c r="N57" i="32" s="1"/>
  <c r="M52" i="32"/>
  <c r="N52" i="32" s="1"/>
  <c r="M78" i="32"/>
  <c r="N78" i="32" s="1"/>
  <c r="M58" i="32"/>
  <c r="N58" i="32" s="1"/>
  <c r="M79" i="32"/>
  <c r="N79" i="32" s="1"/>
  <c r="M54" i="32"/>
  <c r="N54" i="32" s="1"/>
  <c r="M51" i="32"/>
  <c r="N51" i="32" s="1"/>
  <c r="M61" i="32"/>
  <c r="N61" i="32" s="1"/>
  <c r="M56" i="32"/>
  <c r="N56" i="32" s="1"/>
  <c r="M86" i="32"/>
  <c r="N86" i="32" s="1"/>
  <c r="M66" i="32"/>
  <c r="N66" i="32" s="1"/>
  <c r="M59" i="32"/>
  <c r="N59" i="32" s="1"/>
  <c r="M85" i="32"/>
  <c r="N85" i="32" s="1"/>
  <c r="M80" i="32"/>
  <c r="N80" i="32" s="1"/>
  <c r="Q80" i="32" s="1"/>
  <c r="O94" i="32"/>
  <c r="P94" i="32" s="1"/>
  <c r="Q94" i="32" s="1"/>
  <c r="O115" i="32"/>
  <c r="P115" i="32" s="1"/>
  <c r="Q115" i="32" s="1"/>
  <c r="O100" i="32"/>
  <c r="P100" i="32" s="1"/>
  <c r="Q100" i="32" s="1"/>
  <c r="O102" i="32"/>
  <c r="P102" i="32" s="1"/>
  <c r="Q102" i="32" s="1"/>
  <c r="O120" i="32"/>
  <c r="P120" i="32" s="1"/>
  <c r="Q120" i="32" s="1"/>
  <c r="O117" i="32"/>
  <c r="P117" i="32" s="1"/>
  <c r="Q117" i="32" s="1"/>
  <c r="O129" i="32"/>
  <c r="P129" i="32" s="1"/>
  <c r="Q129" i="32" s="1"/>
  <c r="P128" i="41"/>
  <c r="Q128" i="41" s="1"/>
  <c r="P116" i="41"/>
  <c r="Q116" i="41" s="1"/>
  <c r="P104" i="41"/>
  <c r="Q104" i="41" s="1"/>
  <c r="O93" i="32"/>
  <c r="P93" i="32" s="1"/>
  <c r="Q93" i="32" s="1"/>
  <c r="O99" i="32"/>
  <c r="P99" i="32" s="1"/>
  <c r="Q99" i="32" s="1"/>
  <c r="I5" i="24"/>
  <c r="C21" i="36" s="1"/>
  <c r="R94" i="41"/>
  <c r="S94" i="41" s="1"/>
  <c r="T94" i="41" s="1"/>
  <c r="U94" i="41" s="1"/>
  <c r="R95" i="41"/>
  <c r="S95" i="41" s="1"/>
  <c r="T95" i="41" s="1"/>
  <c r="R96" i="41"/>
  <c r="S96" i="41" s="1"/>
  <c r="T96" i="41" s="1"/>
  <c r="R93" i="41"/>
  <c r="S93" i="41" s="1"/>
  <c r="T93" i="41" s="1"/>
  <c r="R98" i="41"/>
  <c r="S98" i="41" s="1"/>
  <c r="T98" i="41" s="1"/>
  <c r="R97" i="41"/>
  <c r="S97" i="41" s="1"/>
  <c r="T97" i="41" s="1"/>
  <c r="R99" i="41"/>
  <c r="S99" i="41" s="1"/>
  <c r="T99" i="41" s="1"/>
  <c r="R100" i="41"/>
  <c r="S100" i="41" s="1"/>
  <c r="T100" i="41" s="1"/>
  <c r="R101" i="41"/>
  <c r="S101" i="41" s="1"/>
  <c r="T101" i="41" s="1"/>
  <c r="R102" i="41"/>
  <c r="S102" i="41" s="1"/>
  <c r="T102" i="41" s="1"/>
  <c r="R103" i="41"/>
  <c r="S103" i="41" s="1"/>
  <c r="T103" i="41" s="1"/>
  <c r="R104" i="41"/>
  <c r="S104" i="41" s="1"/>
  <c r="T104" i="41" s="1"/>
  <c r="R105" i="41"/>
  <c r="S105" i="41" s="1"/>
  <c r="T105" i="41" s="1"/>
  <c r="R106" i="41"/>
  <c r="S106" i="41" s="1"/>
  <c r="T106" i="41" s="1"/>
  <c r="R107" i="41"/>
  <c r="S107" i="41" s="1"/>
  <c r="T107" i="41" s="1"/>
  <c r="R108" i="41"/>
  <c r="S108" i="41" s="1"/>
  <c r="T108" i="41" s="1"/>
  <c r="R109" i="41"/>
  <c r="S109" i="41" s="1"/>
  <c r="T109" i="41" s="1"/>
  <c r="R110" i="41"/>
  <c r="S110" i="41" s="1"/>
  <c r="T110" i="41" s="1"/>
  <c r="R111" i="41"/>
  <c r="R112" i="41"/>
  <c r="S112" i="41" s="1"/>
  <c r="T112" i="41" s="1"/>
  <c r="R113" i="41"/>
  <c r="S113" i="41" s="1"/>
  <c r="T113" i="41" s="1"/>
  <c r="R114" i="41"/>
  <c r="S114" i="41" s="1"/>
  <c r="T114" i="41" s="1"/>
  <c r="R115" i="41"/>
  <c r="S115" i="41" s="1"/>
  <c r="T115" i="41" s="1"/>
  <c r="R116" i="41"/>
  <c r="S116" i="41" s="1"/>
  <c r="T116" i="41" s="1"/>
  <c r="R117" i="41"/>
  <c r="S117" i="41" s="1"/>
  <c r="T117" i="41" s="1"/>
  <c r="R118" i="41"/>
  <c r="S118" i="41" s="1"/>
  <c r="T118" i="41" s="1"/>
  <c r="R119" i="41"/>
  <c r="S119" i="41" s="1"/>
  <c r="T119" i="41" s="1"/>
  <c r="R120" i="41"/>
  <c r="S120" i="41" s="1"/>
  <c r="T120" i="41" s="1"/>
  <c r="R121" i="41"/>
  <c r="S121" i="41" s="1"/>
  <c r="T121" i="41" s="1"/>
  <c r="R122" i="41"/>
  <c r="S122" i="41" s="1"/>
  <c r="T122" i="41" s="1"/>
  <c r="R123" i="41"/>
  <c r="S123" i="41" s="1"/>
  <c r="T123" i="41" s="1"/>
  <c r="R124" i="41"/>
  <c r="S124" i="41" s="1"/>
  <c r="T124" i="41" s="1"/>
  <c r="R125" i="41"/>
  <c r="S125" i="41" s="1"/>
  <c r="T125" i="41" s="1"/>
  <c r="R126" i="41"/>
  <c r="S126" i="41" s="1"/>
  <c r="T126" i="41" s="1"/>
  <c r="R127" i="41"/>
  <c r="S127" i="41" s="1"/>
  <c r="T127" i="41" s="1"/>
  <c r="R128" i="41"/>
  <c r="S128" i="41" s="1"/>
  <c r="T128" i="41" s="1"/>
  <c r="R129" i="41"/>
  <c r="S129" i="41" s="1"/>
  <c r="T129" i="41" s="1"/>
  <c r="R130" i="41"/>
  <c r="S130" i="41" s="1"/>
  <c r="T130" i="41" s="1"/>
  <c r="R131" i="41"/>
  <c r="S131" i="41" s="1"/>
  <c r="T131" i="41" s="1"/>
  <c r="R132" i="41"/>
  <c r="S132" i="41" s="1"/>
  <c r="T132" i="41" s="1"/>
  <c r="J21" i="41"/>
  <c r="P131" i="41"/>
  <c r="Q131" i="41" s="1"/>
  <c r="P123" i="41"/>
  <c r="Q123" i="41" s="1"/>
  <c r="P119" i="41"/>
  <c r="Q119" i="41" s="1"/>
  <c r="P115" i="41"/>
  <c r="Q115" i="41" s="1"/>
  <c r="P107" i="41"/>
  <c r="Q107" i="41" s="1"/>
  <c r="P103" i="41"/>
  <c r="Q103" i="41" s="1"/>
  <c r="U103" i="41" s="1"/>
  <c r="P124" i="41"/>
  <c r="Q124" i="41" s="1"/>
  <c r="P112" i="41"/>
  <c r="Q112" i="41" s="1"/>
  <c r="P97" i="41"/>
  <c r="Q97" i="41" s="1"/>
  <c r="P111" i="41"/>
  <c r="Q111" i="41" s="1"/>
  <c r="O121" i="32"/>
  <c r="P121" i="32" s="1"/>
  <c r="Q121" i="32" s="1"/>
  <c r="O126" i="32"/>
  <c r="P126" i="32" s="1"/>
  <c r="Q126" i="32" s="1"/>
  <c r="O132" i="32"/>
  <c r="P132" i="32" s="1"/>
  <c r="Q132" i="32" s="1"/>
  <c r="O119" i="32"/>
  <c r="P119" i="32" s="1"/>
  <c r="Q119" i="32" s="1"/>
  <c r="O106" i="32"/>
  <c r="P106" i="32" s="1"/>
  <c r="Q106" i="32" s="1"/>
  <c r="O96" i="32"/>
  <c r="P96" i="32" s="1"/>
  <c r="Q96" i="32" s="1"/>
  <c r="O105" i="32"/>
  <c r="P105" i="32" s="1"/>
  <c r="Q105" i="32" s="1"/>
  <c r="O124" i="32"/>
  <c r="P124" i="32" s="1"/>
  <c r="Q124" i="32" s="1"/>
  <c r="O111" i="32"/>
  <c r="P111" i="32" s="1"/>
  <c r="Q111" i="32" s="1"/>
  <c r="O98" i="32"/>
  <c r="P98" i="32" s="1"/>
  <c r="Q98" i="32" s="1"/>
  <c r="P130" i="41"/>
  <c r="Q130" i="41" s="1"/>
  <c r="P126" i="41"/>
  <c r="Q126" i="41" s="1"/>
  <c r="P122" i="41"/>
  <c r="Q122" i="41" s="1"/>
  <c r="P118" i="41"/>
  <c r="Q118" i="41" s="1"/>
  <c r="P114" i="41"/>
  <c r="Q114" i="41" s="1"/>
  <c r="P110" i="41"/>
  <c r="Q110" i="41" s="1"/>
  <c r="P106" i="41"/>
  <c r="Q106" i="41" s="1"/>
  <c r="P102" i="41"/>
  <c r="Q102" i="41" s="1"/>
  <c r="P98" i="41"/>
  <c r="Q98" i="41" s="1"/>
  <c r="P95" i="41"/>
  <c r="Q95" i="41" s="1"/>
  <c r="P132" i="41"/>
  <c r="Q132" i="41" s="1"/>
  <c r="P120" i="41"/>
  <c r="Q120" i="41" s="1"/>
  <c r="P108" i="41"/>
  <c r="Q108" i="41" s="1"/>
  <c r="P100" i="41"/>
  <c r="Q100" i="41" s="1"/>
  <c r="O104" i="32"/>
  <c r="P104" i="32" s="1"/>
  <c r="Q104" i="32" s="1"/>
  <c r="O113" i="32"/>
  <c r="P113" i="32" s="1"/>
  <c r="Q113" i="32" s="1"/>
  <c r="O109" i="32"/>
  <c r="P109" i="32" s="1"/>
  <c r="Q109" i="32" s="1"/>
  <c r="O122" i="32"/>
  <c r="P122" i="32" s="1"/>
  <c r="Q122" i="32" s="1"/>
  <c r="O112" i="32"/>
  <c r="P112" i="32" s="1"/>
  <c r="Q112" i="32" s="1"/>
  <c r="O125" i="32"/>
  <c r="P125" i="32" s="1"/>
  <c r="Q125" i="32" s="1"/>
  <c r="O127" i="32"/>
  <c r="P127" i="32" s="1"/>
  <c r="Q127" i="32" s="1"/>
  <c r="O114" i="32"/>
  <c r="P114" i="32" s="1"/>
  <c r="Q114" i="32" s="1"/>
  <c r="P127" i="41"/>
  <c r="Q127" i="41" s="1"/>
  <c r="P99" i="41"/>
  <c r="Q99" i="41" s="1"/>
  <c r="O101" i="32"/>
  <c r="P101" i="32" s="1"/>
  <c r="Q101" i="32" s="1"/>
  <c r="O123" i="32"/>
  <c r="P123" i="32" s="1"/>
  <c r="Q123" i="32" s="1"/>
  <c r="O110" i="32"/>
  <c r="P110" i="32" s="1"/>
  <c r="Q110" i="32" s="1"/>
  <c r="O116" i="32"/>
  <c r="P116" i="32" s="1"/>
  <c r="Q116" i="32" s="1"/>
  <c r="O103" i="32"/>
  <c r="P103" i="32" s="1"/>
  <c r="Q103" i="32" s="1"/>
  <c r="O97" i="32"/>
  <c r="P97" i="32" s="1"/>
  <c r="Q97" i="32" s="1"/>
  <c r="O131" i="32"/>
  <c r="P131" i="32" s="1"/>
  <c r="Q131" i="32" s="1"/>
  <c r="O118" i="32"/>
  <c r="P118" i="32" s="1"/>
  <c r="Q118" i="32" s="1"/>
  <c r="O108" i="32"/>
  <c r="P108" i="32" s="1"/>
  <c r="Q108" i="32" s="1"/>
  <c r="P129" i="41"/>
  <c r="Q129" i="41" s="1"/>
  <c r="P125" i="41"/>
  <c r="Q125" i="41" s="1"/>
  <c r="P121" i="41"/>
  <c r="Q121" i="41" s="1"/>
  <c r="P117" i="41"/>
  <c r="Q117" i="41" s="1"/>
  <c r="P113" i="41"/>
  <c r="Q113" i="41" s="1"/>
  <c r="P109" i="41"/>
  <c r="Q109" i="41" s="1"/>
  <c r="P105" i="41"/>
  <c r="Q105" i="41" s="1"/>
  <c r="U105" i="41" s="1"/>
  <c r="P101" i="41"/>
  <c r="Q101" i="41" s="1"/>
  <c r="P96" i="41"/>
  <c r="Q96" i="41" s="1"/>
  <c r="U96" i="41" s="1"/>
  <c r="P93" i="41"/>
  <c r="Q93" i="41" s="1"/>
  <c r="I8" i="25"/>
  <c r="D23" i="36" s="1"/>
  <c r="J23" i="32"/>
  <c r="K129" i="41"/>
  <c r="L129" i="41" s="1"/>
  <c r="K87" i="41"/>
  <c r="L87" i="41" s="1"/>
  <c r="U87" i="41" s="1"/>
  <c r="AB87" i="41" s="1"/>
  <c r="I3" i="25"/>
  <c r="D19" i="36" s="1"/>
  <c r="R93" i="32"/>
  <c r="S93" i="32" s="1"/>
  <c r="T93" i="32" s="1"/>
  <c r="R97" i="32"/>
  <c r="S97" i="32" s="1"/>
  <c r="T97" i="32" s="1"/>
  <c r="R101" i="32"/>
  <c r="S101" i="32" s="1"/>
  <c r="T101" i="32" s="1"/>
  <c r="R105" i="32"/>
  <c r="S105" i="32" s="1"/>
  <c r="T105" i="32" s="1"/>
  <c r="R109" i="32"/>
  <c r="S109" i="32" s="1"/>
  <c r="T109" i="32" s="1"/>
  <c r="R113" i="32"/>
  <c r="S113" i="32" s="1"/>
  <c r="T113" i="32" s="1"/>
  <c r="R117" i="32"/>
  <c r="S117" i="32" s="1"/>
  <c r="T117" i="32" s="1"/>
  <c r="R121" i="32"/>
  <c r="S121" i="32" s="1"/>
  <c r="T121" i="32" s="1"/>
  <c r="R125" i="32"/>
  <c r="S125" i="32" s="1"/>
  <c r="T125" i="32" s="1"/>
  <c r="R129" i="32"/>
  <c r="S129" i="32" s="1"/>
  <c r="T129" i="32" s="1"/>
  <c r="R95" i="32"/>
  <c r="S95" i="32" s="1"/>
  <c r="T95" i="32" s="1"/>
  <c r="R98" i="32"/>
  <c r="S98" i="32" s="1"/>
  <c r="T98" i="32" s="1"/>
  <c r="R102" i="32"/>
  <c r="S102" i="32" s="1"/>
  <c r="T102" i="32" s="1"/>
  <c r="R106" i="32"/>
  <c r="S106" i="32" s="1"/>
  <c r="T106" i="32" s="1"/>
  <c r="R110" i="32"/>
  <c r="S110" i="32" s="1"/>
  <c r="T110" i="32" s="1"/>
  <c r="R114" i="32"/>
  <c r="S114" i="32" s="1"/>
  <c r="T114" i="32" s="1"/>
  <c r="R118" i="32"/>
  <c r="S118" i="32" s="1"/>
  <c r="T118" i="32" s="1"/>
  <c r="R122" i="32"/>
  <c r="S122" i="32" s="1"/>
  <c r="T122" i="32" s="1"/>
  <c r="R126" i="32"/>
  <c r="S126" i="32" s="1"/>
  <c r="T126" i="32" s="1"/>
  <c r="R130" i="32"/>
  <c r="S130" i="32" s="1"/>
  <c r="T130" i="32" s="1"/>
  <c r="R100" i="32"/>
  <c r="S100" i="32" s="1"/>
  <c r="T100" i="32" s="1"/>
  <c r="R112" i="32"/>
  <c r="S112" i="32" s="1"/>
  <c r="T112" i="32" s="1"/>
  <c r="R120" i="32"/>
  <c r="S120" i="32" s="1"/>
  <c r="T120" i="32" s="1"/>
  <c r="R128" i="32"/>
  <c r="S128" i="32" s="1"/>
  <c r="T128" i="32" s="1"/>
  <c r="R94" i="32"/>
  <c r="S94" i="32" s="1"/>
  <c r="T94" i="32" s="1"/>
  <c r="R99" i="32"/>
  <c r="S99" i="32" s="1"/>
  <c r="T99" i="32" s="1"/>
  <c r="R103" i="32"/>
  <c r="S103" i="32" s="1"/>
  <c r="T103" i="32" s="1"/>
  <c r="R107" i="32"/>
  <c r="S107" i="32" s="1"/>
  <c r="T107" i="32" s="1"/>
  <c r="R111" i="32"/>
  <c r="S111" i="32" s="1"/>
  <c r="T111" i="32" s="1"/>
  <c r="R115" i="32"/>
  <c r="S115" i="32" s="1"/>
  <c r="T115" i="32" s="1"/>
  <c r="R119" i="32"/>
  <c r="S119" i="32" s="1"/>
  <c r="T119" i="32" s="1"/>
  <c r="R123" i="32"/>
  <c r="S123" i="32" s="1"/>
  <c r="T123" i="32" s="1"/>
  <c r="R127" i="32"/>
  <c r="S127" i="32" s="1"/>
  <c r="T127" i="32" s="1"/>
  <c r="R131" i="32"/>
  <c r="S131" i="32" s="1"/>
  <c r="T131" i="32" s="1"/>
  <c r="R96" i="32"/>
  <c r="S96" i="32" s="1"/>
  <c r="T96" i="32" s="1"/>
  <c r="R104" i="32"/>
  <c r="S104" i="32" s="1"/>
  <c r="T104" i="32" s="1"/>
  <c r="R108" i="32"/>
  <c r="S108" i="32" s="1"/>
  <c r="T108" i="32" s="1"/>
  <c r="R116" i="32"/>
  <c r="S116" i="32" s="1"/>
  <c r="T116" i="32" s="1"/>
  <c r="R124" i="32"/>
  <c r="S124" i="32" s="1"/>
  <c r="T124" i="32" s="1"/>
  <c r="R132" i="32"/>
  <c r="S132" i="32" s="1"/>
  <c r="T132" i="32" s="1"/>
  <c r="I6" i="25"/>
  <c r="D21" i="36" s="1"/>
  <c r="P95" i="32"/>
  <c r="Q95" i="32" s="1"/>
  <c r="L101" i="32"/>
  <c r="J101" i="32"/>
  <c r="I102" i="32" s="1"/>
  <c r="K102" i="32" s="1"/>
  <c r="Y55" i="32"/>
  <c r="Q79" i="14"/>
  <c r="A82" i="14"/>
  <c r="E81" i="14"/>
  <c r="O81" i="14" s="1"/>
  <c r="C81" i="14"/>
  <c r="H81" i="14" s="1"/>
  <c r="D81" i="14"/>
  <c r="F81" i="14" s="1"/>
  <c r="G81" i="14" s="1"/>
  <c r="B81" i="14"/>
  <c r="P80" i="14"/>
  <c r="M80" i="14"/>
  <c r="N80" i="14" s="1"/>
  <c r="R80" i="14"/>
  <c r="S80" i="14" s="1"/>
  <c r="T80" i="14" s="1"/>
  <c r="J55" i="14"/>
  <c r="I56" i="14" s="1"/>
  <c r="K56" i="14" s="1"/>
  <c r="L56" i="14" s="1"/>
  <c r="U56" i="14" s="1"/>
  <c r="F81" i="32" l="1"/>
  <c r="G81" i="32" s="1"/>
  <c r="U121" i="41"/>
  <c r="U124" i="41"/>
  <c r="W56" i="48"/>
  <c r="X56" i="48" s="1"/>
  <c r="Y56" i="48" s="1"/>
  <c r="W56" i="14"/>
  <c r="U126" i="42"/>
  <c r="W83" i="42" s="1"/>
  <c r="U95" i="41"/>
  <c r="V95" i="41" s="1"/>
  <c r="U110" i="41"/>
  <c r="V110" i="41" s="1"/>
  <c r="U102" i="41"/>
  <c r="W59" i="41" s="1"/>
  <c r="U96" i="42"/>
  <c r="W53" i="42" s="1"/>
  <c r="U97" i="42"/>
  <c r="U101" i="42"/>
  <c r="U93" i="41"/>
  <c r="U105" i="42"/>
  <c r="U113" i="42"/>
  <c r="U123" i="41"/>
  <c r="U126" i="41"/>
  <c r="W83" i="41" s="1"/>
  <c r="U118" i="41"/>
  <c r="W75" i="41" s="1"/>
  <c r="U106" i="41"/>
  <c r="U114" i="41"/>
  <c r="U97" i="41"/>
  <c r="W54" i="41" s="1"/>
  <c r="U122" i="41"/>
  <c r="F75" i="32"/>
  <c r="G75" i="32" s="1"/>
  <c r="F67" i="32"/>
  <c r="G67" i="32" s="1"/>
  <c r="V56" i="14"/>
  <c r="W56" i="47"/>
  <c r="X56" i="47" s="1"/>
  <c r="U110" i="42"/>
  <c r="W67" i="42" s="1"/>
  <c r="U93" i="42"/>
  <c r="U98" i="42"/>
  <c r="W55" i="42" s="1"/>
  <c r="U114" i="42"/>
  <c r="V114" i="42" s="1"/>
  <c r="U99" i="41"/>
  <c r="V99" i="41" s="1"/>
  <c r="U115" i="41"/>
  <c r="U102" i="42"/>
  <c r="V102" i="42" s="1"/>
  <c r="U118" i="42"/>
  <c r="V118" i="42" s="1"/>
  <c r="U106" i="42"/>
  <c r="V106" i="42" s="1"/>
  <c r="U122" i="42"/>
  <c r="V122" i="42" s="1"/>
  <c r="F76" i="32"/>
  <c r="G76" i="32" s="1"/>
  <c r="F52" i="32"/>
  <c r="G52" i="32" s="1"/>
  <c r="F65" i="32"/>
  <c r="G65" i="32" s="1"/>
  <c r="F89" i="32"/>
  <c r="G89" i="32" s="1"/>
  <c r="F73" i="32"/>
  <c r="G73" i="32" s="1"/>
  <c r="F55" i="32"/>
  <c r="G55" i="32" s="1"/>
  <c r="F88" i="32"/>
  <c r="G88" i="32" s="1"/>
  <c r="F77" i="32"/>
  <c r="G77" i="32" s="1"/>
  <c r="F54" i="32"/>
  <c r="G54" i="32" s="1"/>
  <c r="F86" i="32"/>
  <c r="G86" i="32" s="1"/>
  <c r="U95" i="32"/>
  <c r="V95" i="32" s="1"/>
  <c r="F58" i="32"/>
  <c r="G58" i="32" s="1"/>
  <c r="F71" i="32"/>
  <c r="G71" i="32" s="1"/>
  <c r="F87" i="32"/>
  <c r="G87" i="32" s="1"/>
  <c r="F62" i="32"/>
  <c r="G62" i="32" s="1"/>
  <c r="F72" i="32"/>
  <c r="G72" i="32" s="1"/>
  <c r="F70" i="32"/>
  <c r="G70" i="32" s="1"/>
  <c r="F74" i="32"/>
  <c r="G74" i="32" s="1"/>
  <c r="F79" i="32"/>
  <c r="G79" i="32" s="1"/>
  <c r="F50" i="32"/>
  <c r="G50" i="32" s="1"/>
  <c r="F69" i="32"/>
  <c r="G69" i="32" s="1"/>
  <c r="F85" i="32"/>
  <c r="G85" i="32" s="1"/>
  <c r="F60" i="32"/>
  <c r="G60" i="32" s="1"/>
  <c r="F84" i="32"/>
  <c r="G84" i="32" s="1"/>
  <c r="F78" i="32"/>
  <c r="G78" i="32" s="1"/>
  <c r="F53" i="32"/>
  <c r="G53" i="32" s="1"/>
  <c r="F61" i="32"/>
  <c r="G61" i="32" s="1"/>
  <c r="F82" i="32"/>
  <c r="G82" i="32" s="1"/>
  <c r="F59" i="32"/>
  <c r="G59" i="32" s="1"/>
  <c r="F83" i="32"/>
  <c r="G83" i="32" s="1"/>
  <c r="F68" i="32"/>
  <c r="G68" i="32" s="1"/>
  <c r="F80" i="32"/>
  <c r="G80" i="32" s="1"/>
  <c r="F56" i="32"/>
  <c r="G56" i="32" s="1"/>
  <c r="F64" i="32"/>
  <c r="G64" i="32" s="1"/>
  <c r="F63" i="32"/>
  <c r="G63" i="32" s="1"/>
  <c r="F57" i="32"/>
  <c r="G57" i="32" s="1"/>
  <c r="F66" i="32"/>
  <c r="G66" i="32" s="1"/>
  <c r="F51" i="32"/>
  <c r="G51" i="32" s="1"/>
  <c r="U97" i="32"/>
  <c r="V97" i="32" s="1"/>
  <c r="U99" i="32"/>
  <c r="V99" i="32" s="1"/>
  <c r="U101" i="32"/>
  <c r="V101" i="32" s="1"/>
  <c r="U93" i="32"/>
  <c r="V93" i="32" s="1"/>
  <c r="U100" i="32"/>
  <c r="W57" i="32" s="1"/>
  <c r="AC57" i="32" s="1"/>
  <c r="U98" i="32"/>
  <c r="V98" i="32" s="1"/>
  <c r="U96" i="32"/>
  <c r="V96" i="32" s="1"/>
  <c r="U94" i="32"/>
  <c r="U127" i="41"/>
  <c r="U119" i="41"/>
  <c r="V119" i="41" s="1"/>
  <c r="U107" i="41"/>
  <c r="V107" i="41" s="1"/>
  <c r="U109" i="41"/>
  <c r="V109" i="41" s="1"/>
  <c r="U125" i="41"/>
  <c r="V125" i="41" s="1"/>
  <c r="U113" i="41"/>
  <c r="V113" i="41" s="1"/>
  <c r="U101" i="41"/>
  <c r="V101" i="41" s="1"/>
  <c r="U117" i="41"/>
  <c r="V117" i="41" s="1"/>
  <c r="U98" i="41"/>
  <c r="W55" i="41" s="1"/>
  <c r="U129" i="41"/>
  <c r="W86" i="41" s="1"/>
  <c r="U100" i="41"/>
  <c r="V100" i="41" s="1"/>
  <c r="U128" i="41"/>
  <c r="U116" i="41"/>
  <c r="W73" i="41" s="1"/>
  <c r="U108" i="41"/>
  <c r="W65" i="41" s="1"/>
  <c r="U120" i="41"/>
  <c r="W77" i="41" s="1"/>
  <c r="U112" i="41"/>
  <c r="W69" i="41" s="1"/>
  <c r="U104" i="41"/>
  <c r="U100" i="42"/>
  <c r="V100" i="42" s="1"/>
  <c r="U116" i="42"/>
  <c r="W73" i="42" s="1"/>
  <c r="U104" i="42"/>
  <c r="W61" i="42" s="1"/>
  <c r="U120" i="42"/>
  <c r="V120" i="42" s="1"/>
  <c r="U95" i="42"/>
  <c r="W52" i="42" s="1"/>
  <c r="U108" i="42"/>
  <c r="V108" i="42" s="1"/>
  <c r="U124" i="42"/>
  <c r="W81" i="42" s="1"/>
  <c r="U99" i="42"/>
  <c r="W56" i="42" s="1"/>
  <c r="U103" i="42"/>
  <c r="V103" i="42" s="1"/>
  <c r="U119" i="42"/>
  <c r="W76" i="42" s="1"/>
  <c r="U117" i="42"/>
  <c r="V117" i="42" s="1"/>
  <c r="U107" i="42"/>
  <c r="V107" i="42" s="1"/>
  <c r="U123" i="42"/>
  <c r="W80" i="42" s="1"/>
  <c r="U121" i="42"/>
  <c r="U94" i="42"/>
  <c r="V94" i="42" s="1"/>
  <c r="U111" i="42"/>
  <c r="W68" i="42" s="1"/>
  <c r="U115" i="42"/>
  <c r="V115" i="42" s="1"/>
  <c r="Q89" i="32"/>
  <c r="V112" i="42"/>
  <c r="V109" i="42"/>
  <c r="V101" i="42"/>
  <c r="V125" i="42"/>
  <c r="Q62" i="32"/>
  <c r="Q69" i="32"/>
  <c r="Q83" i="32"/>
  <c r="Q64" i="32"/>
  <c r="Q58" i="32"/>
  <c r="Q76" i="32"/>
  <c r="Y56" i="41"/>
  <c r="Y56" i="42"/>
  <c r="V84" i="42"/>
  <c r="K127" i="42"/>
  <c r="L127" i="42" s="1"/>
  <c r="U127" i="42" s="1"/>
  <c r="J84" i="42"/>
  <c r="I85" i="42" s="1"/>
  <c r="Q63" i="32"/>
  <c r="Q86" i="32"/>
  <c r="Q77" i="32"/>
  <c r="Q88" i="32"/>
  <c r="Q70" i="32"/>
  <c r="Q54" i="32"/>
  <c r="Q52" i="32"/>
  <c r="B46" i="32"/>
  <c r="B28" i="32"/>
  <c r="J28" i="32" s="1"/>
  <c r="B44" i="32"/>
  <c r="Q82" i="32"/>
  <c r="Q68" i="32"/>
  <c r="J25" i="32"/>
  <c r="B45" i="32"/>
  <c r="Q87" i="32"/>
  <c r="Q66" i="32"/>
  <c r="Q74" i="32"/>
  <c r="I50" i="32"/>
  <c r="K50" i="32" s="1"/>
  <c r="L50" i="32" s="1"/>
  <c r="J24" i="32"/>
  <c r="W62" i="41"/>
  <c r="Q55" i="32"/>
  <c r="Q51" i="32"/>
  <c r="Q75" i="32"/>
  <c r="Q78" i="32"/>
  <c r="Q73" i="32"/>
  <c r="Q67" i="32"/>
  <c r="Q59" i="32"/>
  <c r="Q72" i="32"/>
  <c r="Q57" i="32"/>
  <c r="Q85" i="32"/>
  <c r="Q79" i="32"/>
  <c r="Q71" i="32"/>
  <c r="W78" i="41"/>
  <c r="Q50" i="32"/>
  <c r="Q60" i="32"/>
  <c r="Q53" i="32"/>
  <c r="Q61" i="32"/>
  <c r="Q56" i="32"/>
  <c r="Q65" i="32"/>
  <c r="Q81" i="32"/>
  <c r="W81" i="41"/>
  <c r="W51" i="41"/>
  <c r="V94" i="41"/>
  <c r="S111" i="41"/>
  <c r="T111" i="41" s="1"/>
  <c r="U111" i="41" s="1"/>
  <c r="J87" i="41"/>
  <c r="I88" i="41" s="1"/>
  <c r="V87" i="41"/>
  <c r="J129" i="41"/>
  <c r="I130" i="41" s="1"/>
  <c r="L102" i="32"/>
  <c r="U102" i="32" s="1"/>
  <c r="J102" i="32"/>
  <c r="I103" i="32" s="1"/>
  <c r="K103" i="32" s="1"/>
  <c r="L103" i="32" s="1"/>
  <c r="U103" i="32" s="1"/>
  <c r="U49" i="32"/>
  <c r="Y56" i="32"/>
  <c r="Q80" i="14"/>
  <c r="P81" i="14"/>
  <c r="M81" i="14"/>
  <c r="N81" i="14" s="1"/>
  <c r="R81" i="14"/>
  <c r="S81" i="14" s="1"/>
  <c r="T81" i="14" s="1"/>
  <c r="A83" i="14"/>
  <c r="C82" i="14"/>
  <c r="H82" i="14" s="1"/>
  <c r="E82" i="14"/>
  <c r="O82" i="14" s="1"/>
  <c r="D82" i="14"/>
  <c r="F82" i="14" s="1"/>
  <c r="G82" i="14" s="1"/>
  <c r="B82" i="14"/>
  <c r="J56" i="14"/>
  <c r="I57" i="14" s="1"/>
  <c r="V126" i="42" l="1"/>
  <c r="X62" i="41"/>
  <c r="AC62" i="41"/>
  <c r="X73" i="41"/>
  <c r="AC73" i="41"/>
  <c r="X55" i="41"/>
  <c r="Z55" i="41" s="1"/>
  <c r="AA55" i="41" s="1"/>
  <c r="AC55" i="41"/>
  <c r="X69" i="41"/>
  <c r="AC69" i="41"/>
  <c r="X75" i="41"/>
  <c r="AC75" i="41"/>
  <c r="X51" i="41"/>
  <c r="Z51" i="41" s="1"/>
  <c r="AA51" i="41" s="1"/>
  <c r="AC51" i="41"/>
  <c r="X77" i="41"/>
  <c r="AC77" i="41"/>
  <c r="X54" i="41"/>
  <c r="Z54" i="41" s="1"/>
  <c r="AA54" i="41" s="1"/>
  <c r="AC54" i="41"/>
  <c r="X83" i="41"/>
  <c r="AC83" i="41"/>
  <c r="X59" i="41"/>
  <c r="AC59" i="41"/>
  <c r="X81" i="41"/>
  <c r="AC81" i="41"/>
  <c r="X78" i="41"/>
  <c r="AC78" i="41"/>
  <c r="X65" i="41"/>
  <c r="AC65" i="41"/>
  <c r="X86" i="41"/>
  <c r="AC86" i="41"/>
  <c r="X76" i="42"/>
  <c r="AC76" i="42"/>
  <c r="X80" i="42"/>
  <c r="AC80" i="42"/>
  <c r="X52" i="42"/>
  <c r="Z52" i="42" s="1"/>
  <c r="AA52" i="42" s="1"/>
  <c r="AC52" i="42"/>
  <c r="X73" i="42"/>
  <c r="AC73" i="42"/>
  <c r="X68" i="42"/>
  <c r="AC68" i="42"/>
  <c r="X56" i="42"/>
  <c r="Z56" i="42" s="1"/>
  <c r="AA56" i="42" s="1"/>
  <c r="AC56" i="42"/>
  <c r="X67" i="42"/>
  <c r="AC67" i="42"/>
  <c r="X55" i="42"/>
  <c r="Z55" i="42" s="1"/>
  <c r="AA55" i="42" s="1"/>
  <c r="AC55" i="42"/>
  <c r="X81" i="42"/>
  <c r="AC81" i="42"/>
  <c r="X61" i="42"/>
  <c r="AC61" i="42"/>
  <c r="X53" i="42"/>
  <c r="Z53" i="42" s="1"/>
  <c r="AA53" i="42" s="1"/>
  <c r="AC53" i="42"/>
  <c r="X83" i="42"/>
  <c r="AC83" i="42"/>
  <c r="X49" i="32"/>
  <c r="Z49" i="32" s="1"/>
  <c r="AB49" i="32"/>
  <c r="V110" i="42"/>
  <c r="Y56" i="47"/>
  <c r="W57" i="42"/>
  <c r="H59" i="32"/>
  <c r="H57" i="32"/>
  <c r="V104" i="42"/>
  <c r="V116" i="42"/>
  <c r="W74" i="42"/>
  <c r="W69" i="42"/>
  <c r="V95" i="42"/>
  <c r="W65" i="42"/>
  <c r="V96" i="42"/>
  <c r="W77" i="42"/>
  <c r="V124" i="42"/>
  <c r="W63" i="42"/>
  <c r="W64" i="41"/>
  <c r="H72" i="32"/>
  <c r="H88" i="32"/>
  <c r="H67" i="32"/>
  <c r="H70" i="32"/>
  <c r="H63" i="32"/>
  <c r="H77" i="32"/>
  <c r="H71" i="32"/>
  <c r="H66" i="32"/>
  <c r="W82" i="42"/>
  <c r="W58" i="42"/>
  <c r="W51" i="42"/>
  <c r="V123" i="42"/>
  <c r="W71" i="42"/>
  <c r="W66" i="42"/>
  <c r="W60" i="42"/>
  <c r="W75" i="42"/>
  <c r="W64" i="42"/>
  <c r="W59" i="42"/>
  <c r="W79" i="42"/>
  <c r="V98" i="42"/>
  <c r="W72" i="42"/>
  <c r="V111" i="42"/>
  <c r="V99" i="42"/>
  <c r="V119" i="42"/>
  <c r="W50" i="42"/>
  <c r="V93" i="42"/>
  <c r="V113" i="42"/>
  <c r="W70" i="42"/>
  <c r="W82" i="41"/>
  <c r="W78" i="42"/>
  <c r="V121" i="42"/>
  <c r="V105" i="42"/>
  <c r="W62" i="42"/>
  <c r="W67" i="41"/>
  <c r="W54" i="42"/>
  <c r="V97" i="42"/>
  <c r="H58" i="32"/>
  <c r="H64" i="32"/>
  <c r="H84" i="32"/>
  <c r="H50" i="32"/>
  <c r="H68" i="32"/>
  <c r="H80" i="32"/>
  <c r="H85" i="32"/>
  <c r="H62" i="32"/>
  <c r="H76" i="32"/>
  <c r="H65" i="32"/>
  <c r="H55" i="32"/>
  <c r="H60" i="32"/>
  <c r="H81" i="32"/>
  <c r="H54" i="32"/>
  <c r="H52" i="32"/>
  <c r="H79" i="32"/>
  <c r="H87" i="32"/>
  <c r="H75" i="32"/>
  <c r="H69" i="32"/>
  <c r="H83" i="32"/>
  <c r="H56" i="32"/>
  <c r="H89" i="32"/>
  <c r="H53" i="32"/>
  <c r="H61" i="32"/>
  <c r="H74" i="32"/>
  <c r="H78" i="32"/>
  <c r="H73" i="32"/>
  <c r="H82" i="32"/>
  <c r="H51" i="32"/>
  <c r="V112" i="41"/>
  <c r="V126" i="41"/>
  <c r="W52" i="41"/>
  <c r="V97" i="41"/>
  <c r="J127" i="42"/>
  <c r="I128" i="42" s="1"/>
  <c r="K128" i="42" s="1"/>
  <c r="L128" i="42" s="1"/>
  <c r="U128" i="42" s="1"/>
  <c r="V127" i="42"/>
  <c r="W84" i="42"/>
  <c r="W56" i="41"/>
  <c r="V121" i="41"/>
  <c r="V108" i="41"/>
  <c r="K85" i="42"/>
  <c r="L85" i="42" s="1"/>
  <c r="U85" i="42" s="1"/>
  <c r="AB85" i="42" s="1"/>
  <c r="H86" i="32"/>
  <c r="V102" i="41"/>
  <c r="W70" i="41"/>
  <c r="V118" i="41"/>
  <c r="W76" i="41"/>
  <c r="V98" i="41"/>
  <c r="V105" i="41"/>
  <c r="W66" i="41"/>
  <c r="V116" i="41"/>
  <c r="V129" i="41"/>
  <c r="V120" i="41"/>
  <c r="V124" i="41"/>
  <c r="W74" i="41"/>
  <c r="W58" i="41"/>
  <c r="W57" i="41"/>
  <c r="V123" i="41"/>
  <c r="W80" i="41"/>
  <c r="V106" i="41"/>
  <c r="W63" i="41"/>
  <c r="V115" i="41"/>
  <c r="W72" i="41"/>
  <c r="W84" i="41"/>
  <c r="V127" i="41"/>
  <c r="V93" i="41"/>
  <c r="W50" i="41"/>
  <c r="V103" i="41"/>
  <c r="W60" i="41"/>
  <c r="W79" i="41"/>
  <c r="V122" i="41"/>
  <c r="W85" i="41"/>
  <c r="V128" i="41"/>
  <c r="V96" i="41"/>
  <c r="W53" i="41"/>
  <c r="V104" i="41"/>
  <c r="W61" i="41"/>
  <c r="V111" i="41"/>
  <c r="W68" i="41"/>
  <c r="W71" i="41"/>
  <c r="V114" i="41"/>
  <c r="K130" i="41"/>
  <c r="L130" i="41" s="1"/>
  <c r="U130" i="41" s="1"/>
  <c r="K88" i="41"/>
  <c r="L88" i="41" s="1"/>
  <c r="U88" i="41" s="1"/>
  <c r="AB88" i="41" s="1"/>
  <c r="W50" i="32"/>
  <c r="AC50" i="32" s="1"/>
  <c r="V100" i="32"/>
  <c r="W52" i="32"/>
  <c r="AC52" i="32" s="1"/>
  <c r="W55" i="32"/>
  <c r="AC55" i="32" s="1"/>
  <c r="W53" i="32"/>
  <c r="AC53" i="32" s="1"/>
  <c r="W54" i="32"/>
  <c r="AC54" i="32" s="1"/>
  <c r="W56" i="32"/>
  <c r="AC56" i="32" s="1"/>
  <c r="W58" i="32"/>
  <c r="AC58" i="32" s="1"/>
  <c r="V94" i="32"/>
  <c r="W51" i="32"/>
  <c r="AC51" i="32" s="1"/>
  <c r="V103" i="32"/>
  <c r="W60" i="32"/>
  <c r="AC60" i="32" s="1"/>
  <c r="V102" i="32"/>
  <c r="W59" i="32"/>
  <c r="AC59" i="32" s="1"/>
  <c r="J103" i="32"/>
  <c r="I104" i="32" s="1"/>
  <c r="V49" i="32"/>
  <c r="Q81" i="14"/>
  <c r="A84" i="14"/>
  <c r="E83" i="14"/>
  <c r="O83" i="14" s="1"/>
  <c r="C83" i="14"/>
  <c r="H83" i="14" s="1"/>
  <c r="D83" i="14"/>
  <c r="F83" i="14" s="1"/>
  <c r="G83" i="14" s="1"/>
  <c r="B83" i="14"/>
  <c r="P82" i="14"/>
  <c r="M82" i="14"/>
  <c r="N82" i="14" s="1"/>
  <c r="R82" i="14"/>
  <c r="S82" i="14" s="1"/>
  <c r="T82" i="14" s="1"/>
  <c r="K57" i="14"/>
  <c r="L57" i="14" s="1"/>
  <c r="U57" i="14" s="1"/>
  <c r="X71" i="41" l="1"/>
  <c r="AC71" i="41"/>
  <c r="X85" i="41"/>
  <c r="AC85" i="41"/>
  <c r="X84" i="41"/>
  <c r="AC84" i="41"/>
  <c r="X58" i="41"/>
  <c r="AC58" i="41"/>
  <c r="X67" i="41"/>
  <c r="AC67" i="41"/>
  <c r="X68" i="41"/>
  <c r="AC68" i="41"/>
  <c r="X53" i="41"/>
  <c r="Z53" i="41" s="1"/>
  <c r="AA53" i="41" s="1"/>
  <c r="AC53" i="41"/>
  <c r="X50" i="41"/>
  <c r="Z50" i="41" s="1"/>
  <c r="AA50" i="41" s="1"/>
  <c r="AC50" i="41"/>
  <c r="X72" i="41"/>
  <c r="AC72" i="41"/>
  <c r="X80" i="41"/>
  <c r="AC80" i="41"/>
  <c r="X74" i="41"/>
  <c r="AC74" i="41"/>
  <c r="X76" i="41"/>
  <c r="AC76" i="41"/>
  <c r="X56" i="41"/>
  <c r="Z56" i="41" s="1"/>
  <c r="AA56" i="41" s="1"/>
  <c r="AC56" i="41"/>
  <c r="X82" i="41"/>
  <c r="AC82" i="41"/>
  <c r="X79" i="41"/>
  <c r="AC79" i="41"/>
  <c r="X66" i="41"/>
  <c r="AC66" i="41"/>
  <c r="X52" i="41"/>
  <c r="Z52" i="41" s="1"/>
  <c r="AA52" i="41" s="1"/>
  <c r="AC52" i="41"/>
  <c r="X64" i="41"/>
  <c r="AC64" i="41"/>
  <c r="W57" i="48"/>
  <c r="X57" i="48" s="1"/>
  <c r="Y57" i="48" s="1"/>
  <c r="W57" i="14"/>
  <c r="X61" i="41"/>
  <c r="AC61" i="41"/>
  <c r="X60" i="41"/>
  <c r="AC60" i="41"/>
  <c r="X63" i="41"/>
  <c r="AC63" i="41"/>
  <c r="X57" i="41"/>
  <c r="AC57" i="41"/>
  <c r="X70" i="41"/>
  <c r="AC70" i="41"/>
  <c r="X64" i="42"/>
  <c r="AC64" i="42"/>
  <c r="X77" i="42"/>
  <c r="AC77" i="42"/>
  <c r="X84" i="42"/>
  <c r="AC84" i="42"/>
  <c r="X70" i="42"/>
  <c r="AC70" i="42"/>
  <c r="X75" i="42"/>
  <c r="AC75" i="42"/>
  <c r="X74" i="42"/>
  <c r="AC74" i="42"/>
  <c r="X62" i="42"/>
  <c r="AC62" i="42"/>
  <c r="X72" i="42"/>
  <c r="AC72" i="42"/>
  <c r="X82" i="42"/>
  <c r="AC82" i="42"/>
  <c r="X69" i="42"/>
  <c r="AC69" i="42"/>
  <c r="X54" i="42"/>
  <c r="Z54" i="42" s="1"/>
  <c r="AA54" i="42" s="1"/>
  <c r="AC54" i="42"/>
  <c r="X79" i="42"/>
  <c r="AC79" i="42"/>
  <c r="X60" i="42"/>
  <c r="AC60" i="42"/>
  <c r="X51" i="42"/>
  <c r="Z51" i="42" s="1"/>
  <c r="AA51" i="42" s="1"/>
  <c r="AC51" i="42"/>
  <c r="X63" i="42"/>
  <c r="AC63" i="42"/>
  <c r="X65" i="42"/>
  <c r="AC65" i="42"/>
  <c r="X50" i="42"/>
  <c r="Z50" i="42" s="1"/>
  <c r="AA50" i="42" s="1"/>
  <c r="AC50" i="42"/>
  <c r="X71" i="42"/>
  <c r="AC71" i="42"/>
  <c r="X78" i="42"/>
  <c r="AC78" i="42"/>
  <c r="X59" i="42"/>
  <c r="AC59" i="42"/>
  <c r="X66" i="42"/>
  <c r="AC66" i="42"/>
  <c r="X58" i="42"/>
  <c r="AC58" i="42"/>
  <c r="X57" i="42"/>
  <c r="AC57" i="42"/>
  <c r="V57" i="14"/>
  <c r="W57" i="47"/>
  <c r="X57" i="47" s="1"/>
  <c r="AA49" i="32"/>
  <c r="J50" i="32"/>
  <c r="I51" i="32" s="1"/>
  <c r="K51" i="32" s="1"/>
  <c r="L51" i="32" s="1"/>
  <c r="U51" i="32" s="1"/>
  <c r="U50" i="32"/>
  <c r="Y57" i="41"/>
  <c r="Y57" i="42"/>
  <c r="J128" i="42"/>
  <c r="I129" i="42" s="1"/>
  <c r="V85" i="42"/>
  <c r="J85" i="42"/>
  <c r="I86" i="42" s="1"/>
  <c r="V128" i="42"/>
  <c r="W85" i="42"/>
  <c r="J88" i="41"/>
  <c r="I89" i="41" s="1"/>
  <c r="V88" i="41"/>
  <c r="V130" i="41"/>
  <c r="W87" i="41"/>
  <c r="J130" i="41"/>
  <c r="I131" i="41" s="1"/>
  <c r="K104" i="32"/>
  <c r="L104" i="32" s="1"/>
  <c r="U104" i="32" s="1"/>
  <c r="Y57" i="32"/>
  <c r="Q82" i="14"/>
  <c r="P83" i="14"/>
  <c r="M83" i="14"/>
  <c r="N83" i="14" s="1"/>
  <c r="R83" i="14"/>
  <c r="S83" i="14" s="1"/>
  <c r="T83" i="14" s="1"/>
  <c r="A85" i="14"/>
  <c r="B84" i="14"/>
  <c r="D84" i="14"/>
  <c r="F84" i="14" s="1"/>
  <c r="G84" i="14" s="1"/>
  <c r="C84" i="14"/>
  <c r="H84" i="14" s="1"/>
  <c r="E84" i="14"/>
  <c r="O84" i="14" s="1"/>
  <c r="J57" i="14"/>
  <c r="I58" i="14" s="1"/>
  <c r="Z57" i="41" l="1"/>
  <c r="AA57" i="41" s="1"/>
  <c r="Z57" i="42"/>
  <c r="AA57" i="42" s="1"/>
  <c r="X87" i="41"/>
  <c r="AC87" i="41"/>
  <c r="X85" i="42"/>
  <c r="AC85" i="42"/>
  <c r="X51" i="32"/>
  <c r="Z51" i="32" s="1"/>
  <c r="AA51" i="32" s="1"/>
  <c r="AB51" i="32"/>
  <c r="V50" i="32"/>
  <c r="AB50" i="32"/>
  <c r="Y57" i="47"/>
  <c r="J51" i="32"/>
  <c r="I52" i="32" s="1"/>
  <c r="K52" i="32" s="1"/>
  <c r="L52" i="32" s="1"/>
  <c r="V51" i="32"/>
  <c r="X50" i="32"/>
  <c r="Z50" i="32" s="1"/>
  <c r="K86" i="42"/>
  <c r="L86" i="42" s="1"/>
  <c r="U86" i="42" s="1"/>
  <c r="AB86" i="42" s="1"/>
  <c r="K129" i="42"/>
  <c r="L129" i="42" s="1"/>
  <c r="U129" i="42" s="1"/>
  <c r="K131" i="41"/>
  <c r="L131" i="41" s="1"/>
  <c r="U131" i="41" s="1"/>
  <c r="K89" i="41"/>
  <c r="L89" i="41" s="1"/>
  <c r="U89" i="41" s="1"/>
  <c r="AB89" i="41" s="1"/>
  <c r="V104" i="32"/>
  <c r="W61" i="32"/>
  <c r="AC61" i="32" s="1"/>
  <c r="J104" i="32"/>
  <c r="I105" i="32" s="1"/>
  <c r="K105" i="32" s="1"/>
  <c r="L105" i="32" s="1"/>
  <c r="U105" i="32" s="1"/>
  <c r="Q83" i="14"/>
  <c r="P84" i="14"/>
  <c r="M84" i="14"/>
  <c r="N84" i="14" s="1"/>
  <c r="R84" i="14"/>
  <c r="S84" i="14" s="1"/>
  <c r="T84" i="14" s="1"/>
  <c r="A86" i="14"/>
  <c r="E85" i="14"/>
  <c r="O85" i="14" s="1"/>
  <c r="D85" i="14"/>
  <c r="F85" i="14" s="1"/>
  <c r="G85" i="14" s="1"/>
  <c r="B85" i="14"/>
  <c r="C85" i="14"/>
  <c r="H85" i="14" s="1"/>
  <c r="K58" i="14"/>
  <c r="L58" i="14" s="1"/>
  <c r="U58" i="14" s="1"/>
  <c r="W58" i="48" l="1"/>
  <c r="X58" i="48" s="1"/>
  <c r="Y58" i="48" s="1"/>
  <c r="W58" i="14"/>
  <c r="V58" i="14"/>
  <c r="W58" i="47"/>
  <c r="X58" i="47" s="1"/>
  <c r="U52" i="32"/>
  <c r="Y58" i="41"/>
  <c r="Y58" i="42"/>
  <c r="Z58" i="42" s="1"/>
  <c r="AA58" i="42" s="1"/>
  <c r="J129" i="42"/>
  <c r="I130" i="42" s="1"/>
  <c r="K130" i="42" s="1"/>
  <c r="L130" i="42" s="1"/>
  <c r="U130" i="42" s="1"/>
  <c r="J86" i="42"/>
  <c r="I87" i="42" s="1"/>
  <c r="K87" i="42" s="1"/>
  <c r="L87" i="42" s="1"/>
  <c r="U87" i="42" s="1"/>
  <c r="AB87" i="42" s="1"/>
  <c r="V129" i="42"/>
  <c r="W86" i="42"/>
  <c r="V86" i="42"/>
  <c r="J89" i="41"/>
  <c r="V89" i="41"/>
  <c r="B33" i="41" s="1"/>
  <c r="B35" i="41" s="1"/>
  <c r="V131" i="41"/>
  <c r="W88" i="41"/>
  <c r="J131" i="41"/>
  <c r="I132" i="41" s="1"/>
  <c r="V105" i="32"/>
  <c r="W62" i="32"/>
  <c r="AC62" i="32" s="1"/>
  <c r="J105" i="32"/>
  <c r="I106" i="32" s="1"/>
  <c r="K106" i="32" s="1"/>
  <c r="L106" i="32" s="1"/>
  <c r="U106" i="32" s="1"/>
  <c r="Y58" i="32"/>
  <c r="J52" i="32"/>
  <c r="I53" i="32" s="1"/>
  <c r="P85" i="14"/>
  <c r="M85" i="14"/>
  <c r="N85" i="14" s="1"/>
  <c r="R85" i="14"/>
  <c r="S85" i="14" s="1"/>
  <c r="T85" i="14" s="1"/>
  <c r="A87" i="14"/>
  <c r="B86" i="14"/>
  <c r="E86" i="14"/>
  <c r="O86" i="14" s="1"/>
  <c r="C86" i="14"/>
  <c r="H86" i="14" s="1"/>
  <c r="D86" i="14"/>
  <c r="F86" i="14" s="1"/>
  <c r="G86" i="14" s="1"/>
  <c r="Q84" i="14"/>
  <c r="J58" i="14"/>
  <c r="I59" i="14" s="1"/>
  <c r="X88" i="41" l="1"/>
  <c r="AC88" i="41"/>
  <c r="X86" i="42"/>
  <c r="AC86" i="42"/>
  <c r="X52" i="32"/>
  <c r="Z52" i="32" s="1"/>
  <c r="AA52" i="32" s="1"/>
  <c r="AB52" i="32"/>
  <c r="Y58" i="47"/>
  <c r="AA50" i="32"/>
  <c r="Z58" i="41"/>
  <c r="AA58" i="41" s="1"/>
  <c r="V52" i="32"/>
  <c r="J130" i="42"/>
  <c r="I131" i="42" s="1"/>
  <c r="K131" i="42" s="1"/>
  <c r="L131" i="42" s="1"/>
  <c r="U131" i="42" s="1"/>
  <c r="V87" i="42"/>
  <c r="J87" i="42"/>
  <c r="I88" i="42" s="1"/>
  <c r="V130" i="42"/>
  <c r="W87" i="42"/>
  <c r="K132" i="41"/>
  <c r="L132" i="41" s="1"/>
  <c r="U132" i="41" s="1"/>
  <c r="V106" i="32"/>
  <c r="W63" i="32"/>
  <c r="AC63" i="32" s="1"/>
  <c r="J106" i="32"/>
  <c r="I107" i="32" s="1"/>
  <c r="K107" i="32" s="1"/>
  <c r="L107" i="32" s="1"/>
  <c r="U107" i="32" s="1"/>
  <c r="K53" i="32"/>
  <c r="L53" i="32" s="1"/>
  <c r="Q85" i="14"/>
  <c r="A88" i="14"/>
  <c r="E87" i="14"/>
  <c r="O87" i="14" s="1"/>
  <c r="C87" i="14"/>
  <c r="H87" i="14" s="1"/>
  <c r="B87" i="14"/>
  <c r="D87" i="14"/>
  <c r="F87" i="14" s="1"/>
  <c r="G87" i="14" s="1"/>
  <c r="P86" i="14"/>
  <c r="M86" i="14"/>
  <c r="R86" i="14"/>
  <c r="S86" i="14" s="1"/>
  <c r="T86" i="14" s="1"/>
  <c r="K59" i="14"/>
  <c r="L59" i="14" s="1"/>
  <c r="U59" i="14" s="1"/>
  <c r="W59" i="48" l="1"/>
  <c r="X59" i="48" s="1"/>
  <c r="Y59" i="48" s="1"/>
  <c r="W59" i="14"/>
  <c r="X87" i="42"/>
  <c r="AC87" i="42"/>
  <c r="V59" i="14"/>
  <c r="W59" i="47"/>
  <c r="X59" i="47" s="1"/>
  <c r="U53" i="32"/>
  <c r="J131" i="42"/>
  <c r="I132" i="42" s="1"/>
  <c r="K132" i="42" s="1"/>
  <c r="L132" i="42" s="1"/>
  <c r="U132" i="42" s="1"/>
  <c r="Y59" i="41"/>
  <c r="Y59" i="42"/>
  <c r="Z59" i="42" s="1"/>
  <c r="AA59" i="42" s="1"/>
  <c r="V131" i="42"/>
  <c r="W88" i="42"/>
  <c r="AC88" i="42" s="1"/>
  <c r="K88" i="42"/>
  <c r="L88" i="42" s="1"/>
  <c r="U88" i="42" s="1"/>
  <c r="AB88" i="42" s="1"/>
  <c r="B36" i="41"/>
  <c r="B38" i="41"/>
  <c r="V132" i="41"/>
  <c r="F33" i="41" s="1"/>
  <c r="W89" i="41"/>
  <c r="J132" i="41"/>
  <c r="V107" i="32"/>
  <c r="W64" i="32"/>
  <c r="AC64" i="32" s="1"/>
  <c r="J107" i="32"/>
  <c r="I108" i="32" s="1"/>
  <c r="K108" i="32" s="1"/>
  <c r="L108" i="32" s="1"/>
  <c r="U108" i="32" s="1"/>
  <c r="Y59" i="32"/>
  <c r="J53" i="32"/>
  <c r="I54" i="32" s="1"/>
  <c r="N86" i="14"/>
  <c r="Q86" i="14" s="1"/>
  <c r="P87" i="14"/>
  <c r="R87" i="14"/>
  <c r="S87" i="14" s="1"/>
  <c r="T87" i="14" s="1"/>
  <c r="M87" i="14"/>
  <c r="N87" i="14" s="1"/>
  <c r="A89" i="14"/>
  <c r="C88" i="14"/>
  <c r="H88" i="14" s="1"/>
  <c r="D88" i="14"/>
  <c r="F88" i="14" s="1"/>
  <c r="G88" i="14" s="1"/>
  <c r="E88" i="14"/>
  <c r="O88" i="14" s="1"/>
  <c r="B88" i="14"/>
  <c r="J59" i="14"/>
  <c r="I60" i="14" s="1"/>
  <c r="K60" i="14" s="1"/>
  <c r="X89" i="41" l="1"/>
  <c r="AC89" i="41"/>
  <c r="X53" i="32"/>
  <c r="Z53" i="32" s="1"/>
  <c r="AA53" i="32" s="1"/>
  <c r="AB53" i="32"/>
  <c r="Y59" i="47"/>
  <c r="Z59" i="41"/>
  <c r="AA59" i="41" s="1"/>
  <c r="V53" i="32"/>
  <c r="J33" i="41"/>
  <c r="F35" i="41"/>
  <c r="J35" i="41" s="1"/>
  <c r="J132" i="42"/>
  <c r="J88" i="42"/>
  <c r="I89" i="42" s="1"/>
  <c r="K89" i="42" s="1"/>
  <c r="L89" i="42" s="1"/>
  <c r="U89" i="42" s="1"/>
  <c r="AB89" i="42" s="1"/>
  <c r="X88" i="42"/>
  <c r="V88" i="42"/>
  <c r="V132" i="42"/>
  <c r="F33" i="42" s="1"/>
  <c r="F35" i="42" s="1"/>
  <c r="W89" i="42"/>
  <c r="AC89" i="42" s="1"/>
  <c r="B39" i="41"/>
  <c r="D39" i="41" s="1"/>
  <c r="D38" i="41"/>
  <c r="B37" i="41"/>
  <c r="D37" i="41" s="1"/>
  <c r="D36" i="41"/>
  <c r="V108" i="32"/>
  <c r="W65" i="32"/>
  <c r="AC65" i="32" s="1"/>
  <c r="J108" i="32"/>
  <c r="I109" i="32" s="1"/>
  <c r="K109" i="32" s="1"/>
  <c r="L109" i="32" s="1"/>
  <c r="U109" i="32" s="1"/>
  <c r="K54" i="32"/>
  <c r="L54" i="32" s="1"/>
  <c r="D89" i="14"/>
  <c r="F89" i="14" s="1"/>
  <c r="G89" i="14" s="1"/>
  <c r="C89" i="14"/>
  <c r="H89" i="14" s="1"/>
  <c r="B89" i="14"/>
  <c r="E89" i="14"/>
  <c r="O89" i="14" s="1"/>
  <c r="P88" i="14"/>
  <c r="M88" i="14"/>
  <c r="N88" i="14" s="1"/>
  <c r="R88" i="14"/>
  <c r="S88" i="14" s="1"/>
  <c r="T88" i="14" s="1"/>
  <c r="Q87" i="14"/>
  <c r="L60" i="14"/>
  <c r="U60" i="14" s="1"/>
  <c r="J60" i="14"/>
  <c r="I61" i="14" s="1"/>
  <c r="K61" i="14" s="1"/>
  <c r="W60" i="48" l="1"/>
  <c r="X60" i="48" s="1"/>
  <c r="Y60" i="48" s="1"/>
  <c r="W60" i="14"/>
  <c r="V60" i="14"/>
  <c r="W60" i="47"/>
  <c r="X60" i="47" s="1"/>
  <c r="Y60" i="47" s="1"/>
  <c r="U54" i="32"/>
  <c r="J38" i="41"/>
  <c r="J39" i="41" s="1"/>
  <c r="J36" i="41"/>
  <c r="J37" i="41" s="1"/>
  <c r="Y60" i="41"/>
  <c r="Y60" i="42"/>
  <c r="Z60" i="42" s="1"/>
  <c r="AA60" i="42" s="1"/>
  <c r="J89" i="42"/>
  <c r="F36" i="42"/>
  <c r="F38" i="42"/>
  <c r="X89" i="42"/>
  <c r="V89" i="42"/>
  <c r="B33" i="42" s="1"/>
  <c r="B35" i="42" s="1"/>
  <c r="F36" i="41"/>
  <c r="F38" i="41"/>
  <c r="V109" i="32"/>
  <c r="W66" i="32"/>
  <c r="AC66" i="32" s="1"/>
  <c r="J109" i="32"/>
  <c r="I110" i="32" s="1"/>
  <c r="K110" i="32" s="1"/>
  <c r="Y60" i="32"/>
  <c r="J54" i="32"/>
  <c r="I55" i="32" s="1"/>
  <c r="Q88" i="14"/>
  <c r="P89" i="14"/>
  <c r="M89" i="14"/>
  <c r="N89" i="14" s="1"/>
  <c r="R89" i="14"/>
  <c r="S89" i="14" s="1"/>
  <c r="T89" i="14" s="1"/>
  <c r="L61" i="14"/>
  <c r="U61" i="14" s="1"/>
  <c r="J61" i="14"/>
  <c r="I62" i="14" s="1"/>
  <c r="K62" i="14" s="1"/>
  <c r="W61" i="48" l="1"/>
  <c r="X61" i="48" s="1"/>
  <c r="Y61" i="48" s="1"/>
  <c r="W61" i="14"/>
  <c r="V54" i="32"/>
  <c r="AB54" i="32"/>
  <c r="V61" i="14"/>
  <c r="W61" i="47"/>
  <c r="X61" i="47" s="1"/>
  <c r="Y61" i="47" s="1"/>
  <c r="Z60" i="41"/>
  <c r="AA60" i="41" s="1"/>
  <c r="X54" i="32"/>
  <c r="Z54" i="32" s="1"/>
  <c r="J33" i="42"/>
  <c r="Y61" i="41"/>
  <c r="Y61" i="42"/>
  <c r="Z61" i="42" s="1"/>
  <c r="AA61" i="42" s="1"/>
  <c r="F39" i="42"/>
  <c r="H39" i="42" s="1"/>
  <c r="H38" i="42"/>
  <c r="F37" i="42"/>
  <c r="H37" i="42" s="1"/>
  <c r="H36" i="42"/>
  <c r="F39" i="41"/>
  <c r="H39" i="41" s="1"/>
  <c r="H38" i="41"/>
  <c r="F37" i="41"/>
  <c r="H37" i="41" s="1"/>
  <c r="H36" i="41"/>
  <c r="L110" i="32"/>
  <c r="U110" i="32" s="1"/>
  <c r="J110" i="32"/>
  <c r="I111" i="32" s="1"/>
  <c r="K111" i="32" s="1"/>
  <c r="L111" i="32" s="1"/>
  <c r="U111" i="32" s="1"/>
  <c r="Y61" i="32"/>
  <c r="K55" i="32"/>
  <c r="L55" i="32" s="1"/>
  <c r="Q89" i="14"/>
  <c r="L62" i="14"/>
  <c r="U62" i="14" s="1"/>
  <c r="J62" i="14"/>
  <c r="I63" i="14" s="1"/>
  <c r="W62" i="48" l="1"/>
  <c r="X62" i="48" s="1"/>
  <c r="Y62" i="48" s="1"/>
  <c r="W62" i="14"/>
  <c r="V62" i="14"/>
  <c r="W62" i="47"/>
  <c r="X62" i="47" s="1"/>
  <c r="Y62" i="47" s="1"/>
  <c r="AA54" i="32"/>
  <c r="Z61" i="41"/>
  <c r="AA61" i="41" s="1"/>
  <c r="U55" i="32"/>
  <c r="Y62" i="41"/>
  <c r="Y62" i="42"/>
  <c r="Z62" i="42" s="1"/>
  <c r="AA62" i="42" s="1"/>
  <c r="J35" i="42"/>
  <c r="B36" i="42"/>
  <c r="B38" i="42"/>
  <c r="L39" i="41"/>
  <c r="L38" i="41"/>
  <c r="L37" i="41"/>
  <c r="L36" i="41"/>
  <c r="V111" i="32"/>
  <c r="W68" i="32"/>
  <c r="AC68" i="32" s="1"/>
  <c r="V110" i="32"/>
  <c r="W67" i="32"/>
  <c r="AC67" i="32" s="1"/>
  <c r="J111" i="32"/>
  <c r="I112" i="32" s="1"/>
  <c r="K112" i="32" s="1"/>
  <c r="L112" i="32" s="1"/>
  <c r="U112" i="32" s="1"/>
  <c r="Y62" i="32"/>
  <c r="J55" i="32"/>
  <c r="I56" i="32" s="1"/>
  <c r="K56" i="32" s="1"/>
  <c r="K63" i="14"/>
  <c r="L63" i="14" s="1"/>
  <c r="U63" i="14" s="1"/>
  <c r="W63" i="48" l="1"/>
  <c r="X63" i="48" s="1"/>
  <c r="Y63" i="48" s="1"/>
  <c r="W63" i="14"/>
  <c r="X55" i="32"/>
  <c r="Z55" i="32" s="1"/>
  <c r="AA55" i="32" s="1"/>
  <c r="AB55" i="32"/>
  <c r="V63" i="14"/>
  <c r="W63" i="47"/>
  <c r="X63" i="47" s="1"/>
  <c r="Y63" i="47" s="1"/>
  <c r="Z62" i="41"/>
  <c r="AA62" i="41" s="1"/>
  <c r="V55" i="32"/>
  <c r="Y63" i="41"/>
  <c r="Y63" i="42"/>
  <c r="Z63" i="42" s="1"/>
  <c r="AA63" i="42" s="1"/>
  <c r="D38" i="42"/>
  <c r="B39" i="42"/>
  <c r="D39" i="42" s="1"/>
  <c r="D36" i="42"/>
  <c r="B37" i="42"/>
  <c r="D37" i="42" s="1"/>
  <c r="J36" i="42"/>
  <c r="J38" i="42"/>
  <c r="I8" i="24"/>
  <c r="I9" i="24"/>
  <c r="C25" i="36" s="1"/>
  <c r="V112" i="32"/>
  <c r="W69" i="32"/>
  <c r="AC69" i="32" s="1"/>
  <c r="J112" i="32"/>
  <c r="I113" i="32" s="1"/>
  <c r="K113" i="32" s="1"/>
  <c r="Y63" i="32"/>
  <c r="L56" i="32"/>
  <c r="U56" i="32" s="1"/>
  <c r="AB56" i="32" s="1"/>
  <c r="J56" i="32"/>
  <c r="I57" i="32" s="1"/>
  <c r="K57" i="32" s="1"/>
  <c r="L57" i="32" s="1"/>
  <c r="J63" i="14"/>
  <c r="I64" i="14" s="1"/>
  <c r="Z63" i="41" l="1"/>
  <c r="AA63" i="41" s="1"/>
  <c r="U57" i="32"/>
  <c r="L38" i="42"/>
  <c r="I8" i="43" s="1"/>
  <c r="J39" i="42"/>
  <c r="L39" i="42" s="1"/>
  <c r="I9" i="43" s="1"/>
  <c r="G25" i="36" s="1"/>
  <c r="L36" i="42"/>
  <c r="J37" i="42"/>
  <c r="L37" i="42" s="1"/>
  <c r="I10" i="24"/>
  <c r="C26" i="36" s="1"/>
  <c r="C24" i="36"/>
  <c r="L113" i="32"/>
  <c r="U113" i="32" s="1"/>
  <c r="J113" i="32"/>
  <c r="I114" i="32" s="1"/>
  <c r="K114" i="32" s="1"/>
  <c r="L114" i="32" s="1"/>
  <c r="U114" i="32" s="1"/>
  <c r="V56" i="32"/>
  <c r="X56" i="32"/>
  <c r="J57" i="32"/>
  <c r="I58" i="32" s="1"/>
  <c r="K64" i="14"/>
  <c r="L64" i="14" s="1"/>
  <c r="U64" i="14" s="1"/>
  <c r="W64" i="48" l="1"/>
  <c r="X64" i="48" s="1"/>
  <c r="Y64" i="48" s="1"/>
  <c r="W64" i="14"/>
  <c r="X57" i="32"/>
  <c r="Z57" i="32" s="1"/>
  <c r="AA57" i="32" s="1"/>
  <c r="AB57" i="32"/>
  <c r="V64" i="14"/>
  <c r="W64" i="47"/>
  <c r="X64" i="47" s="1"/>
  <c r="Y64" i="47" s="1"/>
  <c r="V57" i="32"/>
  <c r="Z56" i="32"/>
  <c r="AA56" i="32" s="1"/>
  <c r="I10" i="43"/>
  <c r="G26" i="36" s="1"/>
  <c r="G24" i="36"/>
  <c r="Y64" i="41"/>
  <c r="Y64" i="42"/>
  <c r="Z64" i="42" s="1"/>
  <c r="AA64" i="42" s="1"/>
  <c r="V114" i="32"/>
  <c r="W71" i="32"/>
  <c r="AC71" i="32" s="1"/>
  <c r="V113" i="32"/>
  <c r="W70" i="32"/>
  <c r="AC70" i="32" s="1"/>
  <c r="J114" i="32"/>
  <c r="I115" i="32" s="1"/>
  <c r="K115" i="32" s="1"/>
  <c r="L115" i="32" s="1"/>
  <c r="U115" i="32" s="1"/>
  <c r="Y64" i="32"/>
  <c r="K58" i="32"/>
  <c r="L58" i="32" s="1"/>
  <c r="J64" i="14"/>
  <c r="I65" i="14" s="1"/>
  <c r="Z64" i="41" l="1"/>
  <c r="AA64" i="41" s="1"/>
  <c r="U58" i="32"/>
  <c r="V115" i="32"/>
  <c r="W72" i="32"/>
  <c r="AC72" i="32" s="1"/>
  <c r="J115" i="32"/>
  <c r="I116" i="32" s="1"/>
  <c r="K116" i="32" s="1"/>
  <c r="L116" i="32" s="1"/>
  <c r="U116" i="32" s="1"/>
  <c r="J58" i="32"/>
  <c r="I59" i="32" s="1"/>
  <c r="K59" i="32" s="1"/>
  <c r="K65" i="14"/>
  <c r="L65" i="14" s="1"/>
  <c r="U65" i="14" s="1"/>
  <c r="W65" i="48" l="1"/>
  <c r="X65" i="48" s="1"/>
  <c r="Y65" i="48" s="1"/>
  <c r="W65" i="14"/>
  <c r="X58" i="32"/>
  <c r="Z58" i="32" s="1"/>
  <c r="AA58" i="32" s="1"/>
  <c r="AB58" i="32"/>
  <c r="V65" i="14"/>
  <c r="W65" i="47"/>
  <c r="X65" i="47" s="1"/>
  <c r="Y65" i="47" s="1"/>
  <c r="V58" i="32"/>
  <c r="Y65" i="41"/>
  <c r="Y65" i="42"/>
  <c r="Z65" i="42" s="1"/>
  <c r="AA65" i="42" s="1"/>
  <c r="V116" i="32"/>
  <c r="W73" i="32"/>
  <c r="AC73" i="32" s="1"/>
  <c r="J116" i="32"/>
  <c r="I117" i="32" s="1"/>
  <c r="K117" i="32" s="1"/>
  <c r="L117" i="32" s="1"/>
  <c r="U117" i="32" s="1"/>
  <c r="Y65" i="32"/>
  <c r="J59" i="32"/>
  <c r="I60" i="32" s="1"/>
  <c r="L59" i="32"/>
  <c r="J65" i="14"/>
  <c r="I66" i="14" s="1"/>
  <c r="Z65" i="41" l="1"/>
  <c r="AA65" i="41" s="1"/>
  <c r="U59" i="32"/>
  <c r="V117" i="32"/>
  <c r="W74" i="32"/>
  <c r="AC74" i="32" s="1"/>
  <c r="J117" i="32"/>
  <c r="I118" i="32" s="1"/>
  <c r="K118" i="32" s="1"/>
  <c r="L118" i="32" s="1"/>
  <c r="U118" i="32" s="1"/>
  <c r="K60" i="32"/>
  <c r="L60" i="32" s="1"/>
  <c r="K66" i="14"/>
  <c r="L66" i="14" s="1"/>
  <c r="U66" i="14" s="1"/>
  <c r="W66" i="48" l="1"/>
  <c r="X66" i="48" s="1"/>
  <c r="Y66" i="48" s="1"/>
  <c r="W66" i="14"/>
  <c r="X59" i="32"/>
  <c r="Z59" i="32" s="1"/>
  <c r="AA59" i="32" s="1"/>
  <c r="AB59" i="32"/>
  <c r="V66" i="14"/>
  <c r="W66" i="47"/>
  <c r="X66" i="47" s="1"/>
  <c r="Y66" i="47" s="1"/>
  <c r="V59" i="32"/>
  <c r="U60" i="32"/>
  <c r="Y66" i="41"/>
  <c r="Y66" i="42"/>
  <c r="Z66" i="42" s="1"/>
  <c r="AA66" i="42" s="1"/>
  <c r="V118" i="32"/>
  <c r="W75" i="32"/>
  <c r="AC75" i="32" s="1"/>
  <c r="J118" i="32"/>
  <c r="I119" i="32" s="1"/>
  <c r="K119" i="32" s="1"/>
  <c r="L119" i="32" s="1"/>
  <c r="U119" i="32" s="1"/>
  <c r="Y66" i="32"/>
  <c r="J60" i="32"/>
  <c r="I61" i="32" s="1"/>
  <c r="J66" i="14"/>
  <c r="I67" i="14" s="1"/>
  <c r="X60" i="32" l="1"/>
  <c r="Z60" i="32" s="1"/>
  <c r="AA60" i="32" s="1"/>
  <c r="AB60" i="32"/>
  <c r="Z66" i="41"/>
  <c r="AA66" i="41" s="1"/>
  <c r="V60" i="32"/>
  <c r="V119" i="32"/>
  <c r="W76" i="32"/>
  <c r="AC76" i="32" s="1"/>
  <c r="J119" i="32"/>
  <c r="I120" i="32" s="1"/>
  <c r="K120" i="32" s="1"/>
  <c r="L120" i="32" s="1"/>
  <c r="U120" i="32" s="1"/>
  <c r="K61" i="32"/>
  <c r="L61" i="32" s="1"/>
  <c r="K67" i="14"/>
  <c r="L67" i="14" s="1"/>
  <c r="U67" i="14" s="1"/>
  <c r="W67" i="48" l="1"/>
  <c r="X67" i="48" s="1"/>
  <c r="Y67" i="48" s="1"/>
  <c r="W67" i="14"/>
  <c r="V67" i="14"/>
  <c r="W67" i="47"/>
  <c r="X67" i="47" s="1"/>
  <c r="Y67" i="47" s="1"/>
  <c r="U61" i="32"/>
  <c r="Y67" i="41"/>
  <c r="Y67" i="42"/>
  <c r="Z67" i="42" s="1"/>
  <c r="AA67" i="42" s="1"/>
  <c r="V120" i="32"/>
  <c r="W77" i="32"/>
  <c r="AC77" i="32" s="1"/>
  <c r="J120" i="32"/>
  <c r="I121" i="32" s="1"/>
  <c r="Y67" i="32"/>
  <c r="J61" i="32"/>
  <c r="I62" i="32" s="1"/>
  <c r="K62" i="32" s="1"/>
  <c r="L62" i="32" s="1"/>
  <c r="J67" i="14"/>
  <c r="I68" i="14" s="1"/>
  <c r="X61" i="32" l="1"/>
  <c r="Z61" i="32" s="1"/>
  <c r="AA61" i="32" s="1"/>
  <c r="AB61" i="32"/>
  <c r="Z67" i="41"/>
  <c r="AA67" i="41" s="1"/>
  <c r="V61" i="32"/>
  <c r="U62" i="32"/>
  <c r="K121" i="32"/>
  <c r="L121" i="32" s="1"/>
  <c r="U121" i="32" s="1"/>
  <c r="J62" i="32"/>
  <c r="I63" i="32" s="1"/>
  <c r="K63" i="32" s="1"/>
  <c r="L63" i="32" s="1"/>
  <c r="K68" i="14"/>
  <c r="L68" i="14" s="1"/>
  <c r="U68" i="14" s="1"/>
  <c r="W68" i="48" l="1"/>
  <c r="X68" i="48" s="1"/>
  <c r="Y68" i="48" s="1"/>
  <c r="W68" i="14"/>
  <c r="X62" i="32"/>
  <c r="Z62" i="32" s="1"/>
  <c r="AA62" i="32" s="1"/>
  <c r="AB62" i="32"/>
  <c r="V68" i="14"/>
  <c r="W68" i="47"/>
  <c r="X68" i="47" s="1"/>
  <c r="Y68" i="47" s="1"/>
  <c r="V62" i="32"/>
  <c r="U63" i="32"/>
  <c r="Y68" i="41"/>
  <c r="Y68" i="42"/>
  <c r="Z68" i="42" s="1"/>
  <c r="AA68" i="42" s="1"/>
  <c r="V121" i="32"/>
  <c r="W78" i="32"/>
  <c r="AC78" i="32" s="1"/>
  <c r="J121" i="32"/>
  <c r="I122" i="32" s="1"/>
  <c r="K122" i="32" s="1"/>
  <c r="Y68" i="32"/>
  <c r="J63" i="32"/>
  <c r="I64" i="32" s="1"/>
  <c r="K64" i="32" s="1"/>
  <c r="L64" i="32" s="1"/>
  <c r="J68" i="14"/>
  <c r="I69" i="14" s="1"/>
  <c r="X63" i="32" l="1"/>
  <c r="Z63" i="32" s="1"/>
  <c r="AA63" i="32" s="1"/>
  <c r="AB63" i="32"/>
  <c r="Z68" i="41"/>
  <c r="AA68" i="41" s="1"/>
  <c r="V63" i="32"/>
  <c r="U64" i="32"/>
  <c r="L122" i="32"/>
  <c r="U122" i="32" s="1"/>
  <c r="J122" i="32"/>
  <c r="I123" i="32" s="1"/>
  <c r="K123" i="32" s="1"/>
  <c r="L123" i="32" s="1"/>
  <c r="U123" i="32" s="1"/>
  <c r="J64" i="32"/>
  <c r="I65" i="32" s="1"/>
  <c r="K65" i="32" s="1"/>
  <c r="L65" i="32" s="1"/>
  <c r="K69" i="14"/>
  <c r="L69" i="14" s="1"/>
  <c r="X64" i="32" l="1"/>
  <c r="Z64" i="32" s="1"/>
  <c r="AA64" i="32" s="1"/>
  <c r="AB64" i="32"/>
  <c r="U69" i="14"/>
  <c r="V64" i="32"/>
  <c r="U65" i="32"/>
  <c r="V123" i="32"/>
  <c r="W80" i="32"/>
  <c r="AC80" i="32" s="1"/>
  <c r="V122" i="32"/>
  <c r="W79" i="32"/>
  <c r="AC79" i="32" s="1"/>
  <c r="J123" i="32"/>
  <c r="I124" i="32" s="1"/>
  <c r="K124" i="32" s="1"/>
  <c r="L124" i="32" s="1"/>
  <c r="U124" i="32" s="1"/>
  <c r="J65" i="32"/>
  <c r="I66" i="32" s="1"/>
  <c r="J69" i="14"/>
  <c r="I70" i="14" s="1"/>
  <c r="W69" i="48" l="1"/>
  <c r="X69" i="48" s="1"/>
  <c r="Y69" i="48" s="1"/>
  <c r="W69" i="14"/>
  <c r="X65" i="32"/>
  <c r="Z65" i="32" s="1"/>
  <c r="AA65" i="32" s="1"/>
  <c r="AB65" i="32"/>
  <c r="V69" i="14"/>
  <c r="W69" i="47"/>
  <c r="X69" i="47" s="1"/>
  <c r="Y69" i="47" s="1"/>
  <c r="Y69" i="32"/>
  <c r="Y69" i="42"/>
  <c r="Z69" i="42" s="1"/>
  <c r="AA69" i="42" s="1"/>
  <c r="Y69" i="41"/>
  <c r="V65" i="32"/>
  <c r="V124" i="32"/>
  <c r="W81" i="32"/>
  <c r="AC81" i="32" s="1"/>
  <c r="J124" i="32"/>
  <c r="I125" i="32" s="1"/>
  <c r="K66" i="32"/>
  <c r="L66" i="32" s="1"/>
  <c r="K70" i="14"/>
  <c r="L70" i="14" s="1"/>
  <c r="U70" i="14" s="1"/>
  <c r="W70" i="48" l="1"/>
  <c r="X70" i="48" s="1"/>
  <c r="Y70" i="48" s="1"/>
  <c r="W70" i="14"/>
  <c r="V70" i="14"/>
  <c r="W70" i="47"/>
  <c r="X70" i="47" s="1"/>
  <c r="Y70" i="47" s="1"/>
  <c r="Z69" i="41"/>
  <c r="AA69" i="41" s="1"/>
  <c r="U66" i="32"/>
  <c r="Y70" i="41"/>
  <c r="Y70" i="42"/>
  <c r="Z70" i="42" s="1"/>
  <c r="AA70" i="42" s="1"/>
  <c r="K125" i="32"/>
  <c r="L125" i="32" s="1"/>
  <c r="U125" i="32" s="1"/>
  <c r="Y70" i="32"/>
  <c r="J66" i="32"/>
  <c r="I67" i="32" s="1"/>
  <c r="J70" i="14"/>
  <c r="I71" i="14" s="1"/>
  <c r="K71" i="14" s="1"/>
  <c r="L71" i="14" s="1"/>
  <c r="U71" i="14" s="1"/>
  <c r="W71" i="48" l="1"/>
  <c r="X71" i="48" s="1"/>
  <c r="Y71" i="48" s="1"/>
  <c r="W71" i="14"/>
  <c r="X66" i="32"/>
  <c r="Z66" i="32" s="1"/>
  <c r="AA66" i="32" s="1"/>
  <c r="AB66" i="32"/>
  <c r="V71" i="14"/>
  <c r="W71" i="47"/>
  <c r="X71" i="47" s="1"/>
  <c r="Y71" i="47" s="1"/>
  <c r="Z70" i="41"/>
  <c r="AA70" i="41" s="1"/>
  <c r="V66" i="32"/>
  <c r="Y71" i="41"/>
  <c r="Y71" i="42"/>
  <c r="Z71" i="42" s="1"/>
  <c r="AA71" i="42" s="1"/>
  <c r="V125" i="32"/>
  <c r="W82" i="32"/>
  <c r="AC82" i="32" s="1"/>
  <c r="J125" i="32"/>
  <c r="I126" i="32" s="1"/>
  <c r="K126" i="32" s="1"/>
  <c r="L126" i="32" s="1"/>
  <c r="U126" i="32" s="1"/>
  <c r="Y71" i="32"/>
  <c r="K67" i="32"/>
  <c r="L67" i="32" s="1"/>
  <c r="J71" i="14"/>
  <c r="I72" i="14" s="1"/>
  <c r="Z71" i="41" l="1"/>
  <c r="AA71" i="41" s="1"/>
  <c r="U67" i="32"/>
  <c r="V126" i="32"/>
  <c r="W83" i="32"/>
  <c r="AC83" i="32" s="1"/>
  <c r="J126" i="32"/>
  <c r="I127" i="32" s="1"/>
  <c r="K127" i="32" s="1"/>
  <c r="J67" i="32"/>
  <c r="I68" i="32" s="1"/>
  <c r="K72" i="14"/>
  <c r="L72" i="14" s="1"/>
  <c r="U72" i="14" s="1"/>
  <c r="W72" i="48" l="1"/>
  <c r="X72" i="48" s="1"/>
  <c r="Y72" i="48" s="1"/>
  <c r="W72" i="14"/>
  <c r="X67" i="32"/>
  <c r="Z67" i="32" s="1"/>
  <c r="AA67" i="32" s="1"/>
  <c r="AB67" i="32"/>
  <c r="V72" i="14"/>
  <c r="W72" i="47"/>
  <c r="X72" i="47" s="1"/>
  <c r="Y72" i="47" s="1"/>
  <c r="V67" i="32"/>
  <c r="Y72" i="41"/>
  <c r="Y72" i="42"/>
  <c r="Z72" i="42" s="1"/>
  <c r="AA72" i="42" s="1"/>
  <c r="L127" i="32"/>
  <c r="U127" i="32" s="1"/>
  <c r="J127" i="32"/>
  <c r="I128" i="32" s="1"/>
  <c r="K128" i="32" s="1"/>
  <c r="L128" i="32" s="1"/>
  <c r="U128" i="32" s="1"/>
  <c r="Y72" i="32"/>
  <c r="K68" i="32"/>
  <c r="L68" i="32" s="1"/>
  <c r="J72" i="14"/>
  <c r="I73" i="14" s="1"/>
  <c r="K73" i="14" s="1"/>
  <c r="L73" i="14" s="1"/>
  <c r="U73" i="14" s="1"/>
  <c r="W73" i="48" l="1"/>
  <c r="X73" i="48" s="1"/>
  <c r="Y73" i="48" s="1"/>
  <c r="W73" i="14"/>
  <c r="V73" i="14"/>
  <c r="W73" i="47"/>
  <c r="X73" i="47" s="1"/>
  <c r="Y73" i="47" s="1"/>
  <c r="Z72" i="41"/>
  <c r="AA72" i="41" s="1"/>
  <c r="U68" i="32"/>
  <c r="Y73" i="41"/>
  <c r="Y73" i="42"/>
  <c r="Z73" i="42" s="1"/>
  <c r="AA73" i="42" s="1"/>
  <c r="V128" i="32"/>
  <c r="W85" i="32"/>
  <c r="AC85" i="32" s="1"/>
  <c r="V127" i="32"/>
  <c r="W84" i="32"/>
  <c r="AC84" i="32" s="1"/>
  <c r="J128" i="32"/>
  <c r="I129" i="32" s="1"/>
  <c r="K129" i="32" s="1"/>
  <c r="Y73" i="32"/>
  <c r="J68" i="32"/>
  <c r="I69" i="32" s="1"/>
  <c r="K69" i="32" s="1"/>
  <c r="L69" i="32" s="1"/>
  <c r="J73" i="14"/>
  <c r="I74" i="14" s="1"/>
  <c r="K74" i="14" s="1"/>
  <c r="L74" i="14" s="1"/>
  <c r="U74" i="14" s="1"/>
  <c r="W74" i="48" l="1"/>
  <c r="X74" i="48" s="1"/>
  <c r="Y74" i="48" s="1"/>
  <c r="W74" i="14"/>
  <c r="X68" i="32"/>
  <c r="Z68" i="32" s="1"/>
  <c r="AA68" i="32" s="1"/>
  <c r="AB68" i="32"/>
  <c r="V74" i="14"/>
  <c r="W74" i="47"/>
  <c r="X74" i="47" s="1"/>
  <c r="Y74" i="47" s="1"/>
  <c r="Z73" i="41"/>
  <c r="AA73" i="41" s="1"/>
  <c r="U69" i="32"/>
  <c r="V68" i="32"/>
  <c r="Y74" i="41"/>
  <c r="Y74" i="42"/>
  <c r="Z74" i="42" s="1"/>
  <c r="AA74" i="42" s="1"/>
  <c r="L129" i="32"/>
  <c r="U129" i="32" s="1"/>
  <c r="J129" i="32"/>
  <c r="I130" i="32" s="1"/>
  <c r="K130" i="32" s="1"/>
  <c r="L130" i="32" s="1"/>
  <c r="U130" i="32" s="1"/>
  <c r="Y74" i="32"/>
  <c r="J69" i="32"/>
  <c r="I70" i="32" s="1"/>
  <c r="J74" i="14"/>
  <c r="I75" i="14" s="1"/>
  <c r="K75" i="14" s="1"/>
  <c r="L75" i="14" s="1"/>
  <c r="U75" i="14" s="1"/>
  <c r="W75" i="48" l="1"/>
  <c r="X75" i="48" s="1"/>
  <c r="Y75" i="48" s="1"/>
  <c r="W75" i="14"/>
  <c r="X69" i="32"/>
  <c r="Z69" i="32" s="1"/>
  <c r="AA69" i="32" s="1"/>
  <c r="AB69" i="32"/>
  <c r="V75" i="14"/>
  <c r="W75" i="47"/>
  <c r="X75" i="47" s="1"/>
  <c r="Y75" i="47" s="1"/>
  <c r="Z74" i="41"/>
  <c r="AA74" i="41" s="1"/>
  <c r="V69" i="32"/>
  <c r="Y75" i="41"/>
  <c r="Y75" i="42"/>
  <c r="Z75" i="42" s="1"/>
  <c r="AA75" i="42" s="1"/>
  <c r="V130" i="32"/>
  <c r="W87" i="32"/>
  <c r="AC87" i="32" s="1"/>
  <c r="V129" i="32"/>
  <c r="W86" i="32"/>
  <c r="AC86" i="32" s="1"/>
  <c r="J130" i="32"/>
  <c r="I131" i="32" s="1"/>
  <c r="K131" i="32" s="1"/>
  <c r="L131" i="32" s="1"/>
  <c r="U131" i="32" s="1"/>
  <c r="Y75" i="32"/>
  <c r="K70" i="32"/>
  <c r="L70" i="32" s="1"/>
  <c r="J75" i="14"/>
  <c r="I76" i="14" s="1"/>
  <c r="Z75" i="41" l="1"/>
  <c r="AA75" i="41" s="1"/>
  <c r="U70" i="32"/>
  <c r="V131" i="32"/>
  <c r="W88" i="32"/>
  <c r="AC88" i="32" s="1"/>
  <c r="J131" i="32"/>
  <c r="I132" i="32" s="1"/>
  <c r="J70" i="32"/>
  <c r="I71" i="32" s="1"/>
  <c r="K71" i="32" s="1"/>
  <c r="L71" i="32" s="1"/>
  <c r="K76" i="14"/>
  <c r="L76" i="14" s="1"/>
  <c r="U76" i="14" s="1"/>
  <c r="W76" i="48" l="1"/>
  <c r="X76" i="48" s="1"/>
  <c r="Y76" i="48" s="1"/>
  <c r="W76" i="14"/>
  <c r="X70" i="32"/>
  <c r="Z70" i="32" s="1"/>
  <c r="AA70" i="32" s="1"/>
  <c r="AB70" i="32"/>
  <c r="V76" i="14"/>
  <c r="W76" i="47"/>
  <c r="X76" i="47" s="1"/>
  <c r="Y76" i="47" s="1"/>
  <c r="V70" i="32"/>
  <c r="U71" i="32"/>
  <c r="Y76" i="41"/>
  <c r="Y76" i="42"/>
  <c r="Z76" i="42" s="1"/>
  <c r="AA76" i="42" s="1"/>
  <c r="K132" i="32"/>
  <c r="L132" i="32" s="1"/>
  <c r="U132" i="32" s="1"/>
  <c r="Y76" i="32"/>
  <c r="J71" i="32"/>
  <c r="I72" i="32" s="1"/>
  <c r="J76" i="14"/>
  <c r="I77" i="14" s="1"/>
  <c r="V71" i="32" l="1"/>
  <c r="AB71" i="32"/>
  <c r="Z76" i="41"/>
  <c r="AA76" i="41" s="1"/>
  <c r="X71" i="32"/>
  <c r="Z71" i="32" s="1"/>
  <c r="AA71" i="32" s="1"/>
  <c r="V132" i="32"/>
  <c r="W89" i="32"/>
  <c r="AC89" i="32" s="1"/>
  <c r="J132" i="32"/>
  <c r="K72" i="32"/>
  <c r="L72" i="32" s="1"/>
  <c r="K77" i="14"/>
  <c r="L77" i="14" s="1"/>
  <c r="U77" i="14" s="1"/>
  <c r="W77" i="48" l="1"/>
  <c r="X77" i="48" s="1"/>
  <c r="Y77" i="48" s="1"/>
  <c r="W77" i="14"/>
  <c r="V77" i="14"/>
  <c r="W77" i="47"/>
  <c r="X77" i="47" s="1"/>
  <c r="Y77" i="47" s="1"/>
  <c r="U72" i="32"/>
  <c r="Y77" i="41"/>
  <c r="Y77" i="42"/>
  <c r="Z77" i="42" s="1"/>
  <c r="AA77" i="42" s="1"/>
  <c r="F33" i="32"/>
  <c r="F35" i="32" s="1"/>
  <c r="Y77" i="32"/>
  <c r="J72" i="32"/>
  <c r="I73" i="32" s="1"/>
  <c r="K73" i="32" s="1"/>
  <c r="L73" i="32" s="1"/>
  <c r="J77" i="14"/>
  <c r="I78" i="14" s="1"/>
  <c r="X72" i="32" l="1"/>
  <c r="Z72" i="32" s="1"/>
  <c r="AA72" i="32" s="1"/>
  <c r="AB72" i="32"/>
  <c r="Z77" i="41"/>
  <c r="AA77" i="41" s="1"/>
  <c r="U73" i="32"/>
  <c r="V72" i="32"/>
  <c r="F36" i="32"/>
  <c r="F37" i="32" s="1"/>
  <c r="H37" i="32" s="1"/>
  <c r="F38" i="32"/>
  <c r="F39" i="32" s="1"/>
  <c r="H39" i="32" s="1"/>
  <c r="J73" i="32"/>
  <c r="I74" i="32" s="1"/>
  <c r="K74" i="32" s="1"/>
  <c r="K78" i="14"/>
  <c r="L78" i="14" s="1"/>
  <c r="U78" i="14" s="1"/>
  <c r="W78" i="48" l="1"/>
  <c r="X78" i="48" s="1"/>
  <c r="Y78" i="48" s="1"/>
  <c r="W78" i="14"/>
  <c r="X73" i="32"/>
  <c r="Z73" i="32" s="1"/>
  <c r="AA73" i="32" s="1"/>
  <c r="AB73" i="32"/>
  <c r="V78" i="14"/>
  <c r="W78" i="47"/>
  <c r="X78" i="47" s="1"/>
  <c r="Y78" i="47" s="1"/>
  <c r="V73" i="32"/>
  <c r="Y78" i="41"/>
  <c r="Y78" i="42"/>
  <c r="Z78" i="42" s="1"/>
  <c r="AA78" i="42" s="1"/>
  <c r="H36" i="32"/>
  <c r="H38" i="32"/>
  <c r="Y78" i="32"/>
  <c r="L74" i="32"/>
  <c r="U74" i="32" s="1"/>
  <c r="AB74" i="32" s="1"/>
  <c r="J74" i="32"/>
  <c r="I75" i="32" s="1"/>
  <c r="K75" i="32" s="1"/>
  <c r="L75" i="32" s="1"/>
  <c r="U75" i="32" s="1"/>
  <c r="AB75" i="32" s="1"/>
  <c r="J78" i="14"/>
  <c r="I79" i="14" s="1"/>
  <c r="K79" i="14" s="1"/>
  <c r="L79" i="14" s="1"/>
  <c r="U79" i="14" s="1"/>
  <c r="W79" i="48" l="1"/>
  <c r="X79" i="48" s="1"/>
  <c r="Y79" i="48" s="1"/>
  <c r="W79" i="14"/>
  <c r="V79" i="14"/>
  <c r="W79" i="47"/>
  <c r="X79" i="47" s="1"/>
  <c r="Y79" i="47" s="1"/>
  <c r="Z78" i="41"/>
  <c r="AA78" i="41" s="1"/>
  <c r="Y79" i="41"/>
  <c r="Y79" i="42"/>
  <c r="Z79" i="42" s="1"/>
  <c r="AA79" i="42" s="1"/>
  <c r="Y79" i="32"/>
  <c r="V74" i="32"/>
  <c r="X74" i="32"/>
  <c r="J75" i="32"/>
  <c r="I76" i="32" s="1"/>
  <c r="V75" i="32"/>
  <c r="J79" i="14"/>
  <c r="I80" i="14" s="1"/>
  <c r="K80" i="14" s="1"/>
  <c r="L80" i="14" s="1"/>
  <c r="U80" i="14" s="1"/>
  <c r="X75" i="32"/>
  <c r="W80" i="48" l="1"/>
  <c r="X80" i="48" s="1"/>
  <c r="Y80" i="48" s="1"/>
  <c r="W80" i="14"/>
  <c r="V80" i="14"/>
  <c r="W80" i="47"/>
  <c r="X80" i="47" s="1"/>
  <c r="Y80" i="47" s="1"/>
  <c r="Z79" i="41"/>
  <c r="AA79" i="41" s="1"/>
  <c r="Z75" i="32"/>
  <c r="AA75" i="32" s="1"/>
  <c r="Z74" i="32"/>
  <c r="AA74" i="32" s="1"/>
  <c r="Y80" i="41"/>
  <c r="Y80" i="42"/>
  <c r="Z80" i="42" s="1"/>
  <c r="AA80" i="42" s="1"/>
  <c r="Y80" i="32"/>
  <c r="K76" i="32"/>
  <c r="L76" i="32" s="1"/>
  <c r="U76" i="32" s="1"/>
  <c r="AB76" i="32" s="1"/>
  <c r="J80" i="14"/>
  <c r="I81" i="14" s="1"/>
  <c r="K81" i="14" s="1"/>
  <c r="L81" i="14" s="1"/>
  <c r="U81" i="14" s="1"/>
  <c r="W81" i="48" l="1"/>
  <c r="X81" i="48" s="1"/>
  <c r="Y81" i="48" s="1"/>
  <c r="W81" i="14"/>
  <c r="V81" i="14"/>
  <c r="W81" i="47"/>
  <c r="X81" i="47" s="1"/>
  <c r="Y81" i="47" s="1"/>
  <c r="Z80" i="41"/>
  <c r="AA80" i="41" s="1"/>
  <c r="Y81" i="41"/>
  <c r="Y81" i="42"/>
  <c r="Z81" i="42" s="1"/>
  <c r="AA81" i="42" s="1"/>
  <c r="Y81" i="32"/>
  <c r="J76" i="32"/>
  <c r="I77" i="32" s="1"/>
  <c r="V76" i="32"/>
  <c r="J81" i="14"/>
  <c r="I82" i="14" s="1"/>
  <c r="K82" i="14" s="1"/>
  <c r="L82" i="14" s="1"/>
  <c r="U82" i="14" s="1"/>
  <c r="X76" i="32"/>
  <c r="W82" i="48" l="1"/>
  <c r="X82" i="48" s="1"/>
  <c r="Y82" i="48" s="1"/>
  <c r="W82" i="14"/>
  <c r="V82" i="14"/>
  <c r="W82" i="47"/>
  <c r="X82" i="47" s="1"/>
  <c r="Y82" i="47" s="1"/>
  <c r="Z81" i="41"/>
  <c r="AA81" i="41" s="1"/>
  <c r="Z76" i="32"/>
  <c r="AA76" i="32" s="1"/>
  <c r="Y82" i="41"/>
  <c r="Y82" i="42"/>
  <c r="Z82" i="42" s="1"/>
  <c r="AA82" i="42" s="1"/>
  <c r="Y82" i="32"/>
  <c r="K77" i="32"/>
  <c r="L77" i="32" s="1"/>
  <c r="U77" i="32" s="1"/>
  <c r="AB77" i="32" s="1"/>
  <c r="J82" i="14"/>
  <c r="I83" i="14" s="1"/>
  <c r="K83" i="14" s="1"/>
  <c r="L83" i="14" s="1"/>
  <c r="U83" i="14" s="1"/>
  <c r="W83" i="48" l="1"/>
  <c r="X83" i="48" s="1"/>
  <c r="Y83" i="48" s="1"/>
  <c r="W83" i="14"/>
  <c r="V83" i="14"/>
  <c r="W83" i="47"/>
  <c r="X83" i="47" s="1"/>
  <c r="Y83" i="47" s="1"/>
  <c r="Z82" i="41"/>
  <c r="AA82" i="41" s="1"/>
  <c r="Y83" i="41"/>
  <c r="Y83" i="42"/>
  <c r="Z83" i="42" s="1"/>
  <c r="AA83" i="42" s="1"/>
  <c r="Y83" i="32"/>
  <c r="J77" i="32"/>
  <c r="I78" i="32" s="1"/>
  <c r="V77" i="32"/>
  <c r="J83" i="14"/>
  <c r="I84" i="14" s="1"/>
  <c r="K84" i="14" s="1"/>
  <c r="L84" i="14" s="1"/>
  <c r="U84" i="14" s="1"/>
  <c r="X77" i="32"/>
  <c r="W84" i="48" l="1"/>
  <c r="X84" i="48" s="1"/>
  <c r="Y84" i="48" s="1"/>
  <c r="W84" i="14"/>
  <c r="V84" i="14"/>
  <c r="W84" i="47"/>
  <c r="X84" i="47" s="1"/>
  <c r="Y84" i="47" s="1"/>
  <c r="Z83" i="41"/>
  <c r="AA83" i="41" s="1"/>
  <c r="Z77" i="32"/>
  <c r="AA77" i="32" s="1"/>
  <c r="Y84" i="41"/>
  <c r="Y84" i="42"/>
  <c r="Z84" i="42" s="1"/>
  <c r="AA84" i="42" s="1"/>
  <c r="Y84" i="32"/>
  <c r="K78" i="32"/>
  <c r="L78" i="32" s="1"/>
  <c r="U78" i="32" s="1"/>
  <c r="AB78" i="32" s="1"/>
  <c r="J84" i="14"/>
  <c r="I85" i="14" s="1"/>
  <c r="Z84" i="41" l="1"/>
  <c r="AA84" i="41" s="1"/>
  <c r="J78" i="32"/>
  <c r="I79" i="32" s="1"/>
  <c r="K79" i="32" s="1"/>
  <c r="L79" i="32" s="1"/>
  <c r="U79" i="32" s="1"/>
  <c r="AB79" i="32" s="1"/>
  <c r="V78" i="32"/>
  <c r="K85" i="14"/>
  <c r="L85" i="14" s="1"/>
  <c r="U85" i="14" s="1"/>
  <c r="X78" i="32"/>
  <c r="W85" i="48" l="1"/>
  <c r="X85" i="48" s="1"/>
  <c r="Y85" i="48" s="1"/>
  <c r="W85" i="14"/>
  <c r="V85" i="14"/>
  <c r="W85" i="47"/>
  <c r="X85" i="47" s="1"/>
  <c r="Y85" i="47" s="1"/>
  <c r="Z78" i="32"/>
  <c r="AA78" i="32" s="1"/>
  <c r="Y85" i="41"/>
  <c r="Y85" i="42"/>
  <c r="Z85" i="42" s="1"/>
  <c r="AA85" i="42" s="1"/>
  <c r="Y85" i="32"/>
  <c r="J79" i="32"/>
  <c r="I80" i="32" s="1"/>
  <c r="K80" i="32" s="1"/>
  <c r="L80" i="32" s="1"/>
  <c r="V79" i="32"/>
  <c r="J85" i="14"/>
  <c r="I86" i="14" s="1"/>
  <c r="K86" i="14" s="1"/>
  <c r="L86" i="14" s="1"/>
  <c r="U86" i="14" s="1"/>
  <c r="W86" i="48" l="1"/>
  <c r="X86" i="48" s="1"/>
  <c r="Y86" i="48" s="1"/>
  <c r="W86" i="14"/>
  <c r="V86" i="14"/>
  <c r="W86" i="47"/>
  <c r="X86" i="47" s="1"/>
  <c r="Y86" i="47" s="1"/>
  <c r="Z85" i="41"/>
  <c r="AA85" i="41" s="1"/>
  <c r="U80" i="32"/>
  <c r="Y86" i="41"/>
  <c r="Y86" i="42"/>
  <c r="Z86" i="42" s="1"/>
  <c r="AA86" i="42" s="1"/>
  <c r="Y86" i="32"/>
  <c r="J80" i="32"/>
  <c r="I81" i="32" s="1"/>
  <c r="K81" i="32" s="1"/>
  <c r="L81" i="32" s="1"/>
  <c r="J86" i="14"/>
  <c r="I87" i="14" s="1"/>
  <c r="X79" i="32"/>
  <c r="V80" i="32" l="1"/>
  <c r="AB80" i="32"/>
  <c r="Z86" i="41"/>
  <c r="AA86" i="41" s="1"/>
  <c r="U81" i="32"/>
  <c r="Z79" i="32"/>
  <c r="AA79" i="32" s="1"/>
  <c r="J81" i="32"/>
  <c r="I82" i="32" s="1"/>
  <c r="K82" i="32" s="1"/>
  <c r="L82" i="32" s="1"/>
  <c r="U82" i="32" s="1"/>
  <c r="AB82" i="32" s="1"/>
  <c r="K87" i="14"/>
  <c r="L87" i="14" s="1"/>
  <c r="U87" i="14" s="1"/>
  <c r="W87" i="48" l="1"/>
  <c r="X87" i="48" s="1"/>
  <c r="Y87" i="48" s="1"/>
  <c r="W87" i="14"/>
  <c r="V81" i="32"/>
  <c r="AB81" i="32"/>
  <c r="V87" i="14"/>
  <c r="W87" i="47"/>
  <c r="X87" i="47" s="1"/>
  <c r="Y87" i="47" s="1"/>
  <c r="Y87" i="41"/>
  <c r="Y87" i="42"/>
  <c r="Z87" i="42" s="1"/>
  <c r="AA87" i="42" s="1"/>
  <c r="Y87" i="32"/>
  <c r="J87" i="14"/>
  <c r="I88" i="14" s="1"/>
  <c r="K88" i="14" s="1"/>
  <c r="L88" i="14" s="1"/>
  <c r="U88" i="14" s="1"/>
  <c r="V82" i="32"/>
  <c r="J82" i="32"/>
  <c r="I83" i="32" s="1"/>
  <c r="X80" i="32"/>
  <c r="W88" i="48" l="1"/>
  <c r="X88" i="48" s="1"/>
  <c r="Y88" i="48" s="1"/>
  <c r="W88" i="14"/>
  <c r="V88" i="14"/>
  <c r="W88" i="47"/>
  <c r="X88" i="47" s="1"/>
  <c r="Y88" i="47" s="1"/>
  <c r="Z87" i="41"/>
  <c r="AA87" i="41" s="1"/>
  <c r="Z80" i="32"/>
  <c r="AA80" i="32" s="1"/>
  <c r="Y88" i="41"/>
  <c r="Y88" i="42"/>
  <c r="Z88" i="42" s="1"/>
  <c r="AA88" i="42" s="1"/>
  <c r="Y88" i="32"/>
  <c r="J88" i="14"/>
  <c r="I89" i="14" s="1"/>
  <c r="K89" i="14" s="1"/>
  <c r="L89" i="14" s="1"/>
  <c r="U89" i="14" s="1"/>
  <c r="K83" i="32"/>
  <c r="L83" i="32" s="1"/>
  <c r="U83" i="32" s="1"/>
  <c r="AB83" i="32" s="1"/>
  <c r="W89" i="48" l="1"/>
  <c r="X89" i="48" s="1"/>
  <c r="Y89" i="48" s="1"/>
  <c r="I13" i="46" s="1"/>
  <c r="F28" i="36" s="1"/>
  <c r="W89" i="14"/>
  <c r="X47" i="48"/>
  <c r="I12" i="46"/>
  <c r="F27" i="36" s="1"/>
  <c r="V89" i="14"/>
  <c r="B34" i="14" s="1"/>
  <c r="B36" i="14" s="1"/>
  <c r="W89" i="47"/>
  <c r="X89" i="47" s="1"/>
  <c r="Z88" i="41"/>
  <c r="AA88" i="41" s="1"/>
  <c r="Y89" i="41"/>
  <c r="Y89" i="42"/>
  <c r="Z89" i="42" s="1"/>
  <c r="AA89" i="42" s="1"/>
  <c r="Y89" i="32"/>
  <c r="J89" i="14"/>
  <c r="V83" i="32"/>
  <c r="J83" i="32"/>
  <c r="I84" i="32" s="1"/>
  <c r="X81" i="32"/>
  <c r="Y89" i="47" l="1"/>
  <c r="I12" i="45" s="1"/>
  <c r="E28" i="36" s="1"/>
  <c r="I11" i="45"/>
  <c r="E27" i="36" s="1"/>
  <c r="Z89" i="41"/>
  <c r="AA89" i="41" s="1"/>
  <c r="I12" i="24" s="1"/>
  <c r="C28" i="36" s="1"/>
  <c r="Z81" i="32"/>
  <c r="AA81" i="32" s="1"/>
  <c r="I12" i="43"/>
  <c r="G28" i="36" s="1"/>
  <c r="I11" i="43"/>
  <c r="G27" i="36" s="1"/>
  <c r="K84" i="32"/>
  <c r="L84" i="32" s="1"/>
  <c r="U84" i="32" s="1"/>
  <c r="AB84" i="32" s="1"/>
  <c r="I11" i="24" l="1"/>
  <c r="C27" i="36" s="1"/>
  <c r="V84" i="32"/>
  <c r="J84" i="32"/>
  <c r="I85" i="32" s="1"/>
  <c r="K85" i="32" s="1"/>
  <c r="L85" i="32" s="1"/>
  <c r="U85" i="32" s="1"/>
  <c r="AB85" i="32" s="1"/>
  <c r="X82" i="32"/>
  <c r="Z82" i="32" l="1"/>
  <c r="AA82" i="32" s="1"/>
  <c r="V85" i="32"/>
  <c r="J85" i="32"/>
  <c r="I86" i="32" s="1"/>
  <c r="K86" i="32" s="1"/>
  <c r="L86" i="32" s="1"/>
  <c r="U86" i="32" s="1"/>
  <c r="AB86" i="32" s="1"/>
  <c r="V86" i="32" l="1"/>
  <c r="J86" i="32"/>
  <c r="I87" i="32" s="1"/>
  <c r="X83" i="32"/>
  <c r="Z83" i="32" l="1"/>
  <c r="AA83" i="32" s="1"/>
  <c r="K87" i="32"/>
  <c r="L87" i="32" s="1"/>
  <c r="U87" i="32" s="1"/>
  <c r="AB87" i="32" s="1"/>
  <c r="V87" i="32" l="1"/>
  <c r="J87" i="32"/>
  <c r="I88" i="32" s="1"/>
  <c r="X84" i="32"/>
  <c r="Z84" i="32" l="1"/>
  <c r="AA84" i="32" s="1"/>
  <c r="K88" i="32"/>
  <c r="L88" i="32" s="1"/>
  <c r="U88" i="32" s="1"/>
  <c r="AB88" i="32" s="1"/>
  <c r="V88" i="32" l="1"/>
  <c r="J88" i="32"/>
  <c r="I89" i="32" s="1"/>
  <c r="X85" i="32"/>
  <c r="Z85" i="32" l="1"/>
  <c r="AA85" i="32" s="1"/>
  <c r="K89" i="32"/>
  <c r="L89" i="32" s="1"/>
  <c r="U89" i="32" s="1"/>
  <c r="AB89" i="32" s="1"/>
  <c r="V89" i="32" l="1"/>
  <c r="J89" i="32"/>
  <c r="X86" i="32"/>
  <c r="Z86" i="32" l="1"/>
  <c r="AA86" i="32" s="1"/>
  <c r="B33" i="32"/>
  <c r="X87" i="32"/>
  <c r="Z87" i="32" l="1"/>
  <c r="AA87" i="32" s="1"/>
  <c r="B35" i="32"/>
  <c r="B36" i="32" s="1"/>
  <c r="X88" i="32"/>
  <c r="Z88" i="32" l="1"/>
  <c r="AA88" i="32" s="1"/>
  <c r="B37" i="32"/>
  <c r="D37" i="32" s="1"/>
  <c r="D36" i="32"/>
  <c r="B38" i="32"/>
  <c r="D38" i="32" s="1"/>
  <c r="B39" i="32" l="1"/>
  <c r="D39" i="32" s="1"/>
  <c r="X89" i="32"/>
  <c r="Z89" i="32" l="1"/>
  <c r="AA89" i="32" l="1"/>
  <c r="I12" i="25"/>
  <c r="D27" i="36" s="1"/>
  <c r="J35" i="32"/>
  <c r="J36" i="32" s="1"/>
  <c r="J33" i="32"/>
  <c r="I13" i="25" l="1"/>
  <c r="D28" i="36" s="1"/>
  <c r="J38" i="32"/>
  <c r="J39" i="32" s="1"/>
  <c r="J37" i="32"/>
  <c r="L37" i="32" l="1"/>
  <c r="L36" i="32"/>
  <c r="L38" i="32"/>
  <c r="L39" i="32"/>
  <c r="I9" i="25" l="1"/>
  <c r="I10" i="25"/>
  <c r="D25" i="36" s="1"/>
  <c r="I11" i="25" l="1"/>
  <c r="D26" i="36" s="1"/>
  <c r="D24" i="36"/>
  <c r="B37" i="14" l="1"/>
  <c r="B39" i="14"/>
  <c r="D39" i="14" l="1"/>
  <c r="H9" i="13" s="1"/>
  <c r="B40" i="14"/>
  <c r="D40" i="14" s="1"/>
  <c r="H10" i="13" s="1"/>
  <c r="D37" i="14"/>
  <c r="B38" i="14"/>
  <c r="D38" i="14" s="1"/>
  <c r="H9" i="45" l="1"/>
  <c r="H10" i="46"/>
  <c r="H8" i="45"/>
  <c r="H9" i="46"/>
  <c r="B25" i="36"/>
  <c r="H9" i="24"/>
  <c r="H10" i="25"/>
  <c r="H9" i="43"/>
  <c r="H8" i="43"/>
  <c r="B24" i="36"/>
  <c r="H8" i="24"/>
  <c r="H11" i="13"/>
  <c r="H9" i="25"/>
  <c r="H10" i="45" l="1"/>
  <c r="H11" i="46"/>
  <c r="H10" i="24"/>
  <c r="B26" i="36"/>
  <c r="H10" i="43"/>
  <c r="H11" i="25"/>
</calcChain>
</file>

<file path=xl/comments1.xml><?xml version="1.0" encoding="utf-8"?>
<comments xmlns="http://schemas.openxmlformats.org/spreadsheetml/2006/main">
  <authors>
    <author>Joshua Jordan</author>
  </authors>
  <commentList>
    <comment ref="E7" authorId="0" shapeId="0">
      <text>
        <r>
          <rPr>
            <sz val="9"/>
            <color indexed="81"/>
            <rFont val="Tahoma"/>
            <family val="2"/>
          </rPr>
          <t xml:space="preserve">For heat pump this is the nameplate </t>
        </r>
        <r>
          <rPr>
            <b/>
            <sz val="9"/>
            <color indexed="81"/>
            <rFont val="Tahoma"/>
            <family val="2"/>
          </rPr>
          <t>electrical</t>
        </r>
        <r>
          <rPr>
            <sz val="9"/>
            <color indexed="81"/>
            <rFont val="Tahoma"/>
            <family val="2"/>
          </rPr>
          <t xml:space="preserve"> capacity rather than thermal output capacity </t>
        </r>
      </text>
    </comment>
    <comment ref="E20" authorId="0" shapeId="0">
      <text>
        <r>
          <rPr>
            <sz val="9"/>
            <color indexed="81"/>
            <rFont val="Tahoma"/>
            <family val="2"/>
          </rPr>
          <t xml:space="preserve">For heat pump, this is </t>
        </r>
        <r>
          <rPr>
            <b/>
            <sz val="9"/>
            <color indexed="81"/>
            <rFont val="Tahoma"/>
            <family val="2"/>
          </rPr>
          <t>electricity</t>
        </r>
        <r>
          <rPr>
            <sz val="9"/>
            <color indexed="81"/>
            <rFont val="Tahoma"/>
            <family val="2"/>
          </rPr>
          <t xml:space="preserve"> consumption (in GJ)</t>
        </r>
      </text>
    </comment>
  </commentList>
</comments>
</file>

<file path=xl/comments2.xml><?xml version="1.0" encoding="utf-8"?>
<comments xmlns="http://schemas.openxmlformats.org/spreadsheetml/2006/main">
  <authors>
    <author>keith</author>
  </authors>
  <commentList>
    <comment ref="A24" authorId="0" shapeId="0">
      <text>
        <r>
          <rPr>
            <b/>
            <sz val="9"/>
            <color indexed="81"/>
            <rFont val="Tahoma"/>
            <family val="2"/>
          </rPr>
          <t>keith:</t>
        </r>
        <r>
          <rPr>
            <sz val="9"/>
            <color indexed="81"/>
            <rFont val="Tahoma"/>
            <family val="2"/>
          </rPr>
          <t xml:space="preserve">
This spreadsheet assumes operation from year zero, thus this number should be scaled up for finance costs during construction.</t>
        </r>
      </text>
    </comment>
  </commentList>
</comments>
</file>

<file path=xl/comments3.xml><?xml version="1.0" encoding="utf-8"?>
<comments xmlns="http://schemas.openxmlformats.org/spreadsheetml/2006/main">
  <authors>
    <author>keith</author>
  </authors>
  <commentList>
    <comment ref="A24" authorId="0" shapeId="0">
      <text>
        <r>
          <rPr>
            <b/>
            <sz val="9"/>
            <color indexed="81"/>
            <rFont val="Tahoma"/>
            <family val="2"/>
          </rPr>
          <t>keith:</t>
        </r>
        <r>
          <rPr>
            <sz val="9"/>
            <color indexed="81"/>
            <rFont val="Tahoma"/>
            <family val="2"/>
          </rPr>
          <t xml:space="preserve">
This spreadsheet assumes operation from year zero, thus this number should be scaled up for finance costs during construction.</t>
        </r>
      </text>
    </comment>
  </commentList>
</comments>
</file>

<file path=xl/comments4.xml><?xml version="1.0" encoding="utf-8"?>
<comments xmlns="http://schemas.openxmlformats.org/spreadsheetml/2006/main">
  <authors>
    <author>keith</author>
  </authors>
  <commentList>
    <comment ref="A24" authorId="0" shapeId="0">
      <text>
        <r>
          <rPr>
            <b/>
            <sz val="9"/>
            <color indexed="81"/>
            <rFont val="Tahoma"/>
            <family val="2"/>
          </rPr>
          <t>keith:</t>
        </r>
        <r>
          <rPr>
            <sz val="9"/>
            <color indexed="81"/>
            <rFont val="Tahoma"/>
            <family val="2"/>
          </rPr>
          <t xml:space="preserve">
This spreadsheet assumes operation from year zero, thus this number should be scaled up for finance costs during construction.</t>
        </r>
      </text>
    </comment>
  </commentList>
</comments>
</file>

<file path=xl/sharedStrings.xml><?xml version="1.0" encoding="utf-8"?>
<sst xmlns="http://schemas.openxmlformats.org/spreadsheetml/2006/main" count="1567" uniqueCount="299">
  <si>
    <t>year</t>
  </si>
  <si>
    <t xml:space="preserve"> </t>
  </si>
  <si>
    <t>kW</t>
  </si>
  <si>
    <t>USER INPUTS</t>
  </si>
  <si>
    <t>OPTION 1</t>
  </si>
  <si>
    <t>Name plate capacity</t>
  </si>
  <si>
    <t>kWth</t>
  </si>
  <si>
    <t>Capacity factor</t>
  </si>
  <si>
    <t>Installed cost / unit capacity</t>
  </si>
  <si>
    <t>$/kWth</t>
  </si>
  <si>
    <t>Loan fraction of total</t>
  </si>
  <si>
    <t>Loan period</t>
  </si>
  <si>
    <t>Years</t>
  </si>
  <si>
    <t>Loan interest rate (nominal)</t>
  </si>
  <si>
    <t>/year</t>
  </si>
  <si>
    <t>Discount rate for equity (nominal)</t>
  </si>
  <si>
    <t>Tax Rate</t>
  </si>
  <si>
    <t>Depreciation period</t>
  </si>
  <si>
    <t>Project Life</t>
  </si>
  <si>
    <t>End of life salvage value (%of initial cap)</t>
  </si>
  <si>
    <t>$/kWhth</t>
  </si>
  <si>
    <t>$/GJ</t>
  </si>
  <si>
    <t>Fixed O&amp;M</t>
  </si>
  <si>
    <t>Inflation</t>
  </si>
  <si>
    <t>Cost of input fuel</t>
  </si>
  <si>
    <t>Fuel cost escalation rate</t>
  </si>
  <si>
    <t>Fuel conversion efficiency</t>
  </si>
  <si>
    <t>CALCULATED</t>
  </si>
  <si>
    <t>annual fuel consumption</t>
  </si>
  <si>
    <t>kWhth</t>
  </si>
  <si>
    <t>year 1 fuel cost</t>
  </si>
  <si>
    <t>Annual production</t>
  </si>
  <si>
    <t>GJ</t>
  </si>
  <si>
    <t>Initial Capital cost</t>
  </si>
  <si>
    <t>$</t>
  </si>
  <si>
    <t>$/kWh</t>
  </si>
  <si>
    <t>Do not edit tan cells</t>
  </si>
  <si>
    <t>Variable o&amp;m (year 0)</t>
  </si>
  <si>
    <t>Fixed O&amp;M (fraction of capital cost/yr  in year 0)</t>
  </si>
  <si>
    <t>Conversion efficiency</t>
  </si>
  <si>
    <t>End of life salvage value</t>
  </si>
  <si>
    <t>Loan amount</t>
  </si>
  <si>
    <t>Equity amount</t>
  </si>
  <si>
    <t>Annualisation factor for loan</t>
  </si>
  <si>
    <t>Annual loan payment</t>
  </si>
  <si>
    <t>$/year</t>
  </si>
  <si>
    <t>Capital recovery factor for nominal discount rate</t>
  </si>
  <si>
    <t>Real discount rate for equity</t>
  </si>
  <si>
    <t>Capital recovery factor for real discount</t>
  </si>
  <si>
    <t>Annual real depreciation (nominal???)</t>
  </si>
  <si>
    <t>Net Present value of annual costs</t>
  </si>
  <si>
    <t>NPV of salvage after tax</t>
  </si>
  <si>
    <t>NPV of project life costs after tax</t>
  </si>
  <si>
    <t>SIMPLE APPROXIMATION</t>
  </si>
  <si>
    <t xml:space="preserve">Estimated WACC </t>
  </si>
  <si>
    <t>Capital recovery factor for WACC</t>
  </si>
  <si>
    <t>Capital recovery factor for WACC+Fixed O&amp;M</t>
  </si>
  <si>
    <t>Simple real LCOE based on WACC</t>
  </si>
  <si>
    <t>Year</t>
  </si>
  <si>
    <t xml:space="preserve">Present value factor based on discount rate </t>
  </si>
  <si>
    <t>end of loan period test</t>
  </si>
  <si>
    <t>end of depreciation test</t>
  </si>
  <si>
    <t>end of life test</t>
  </si>
  <si>
    <t>Depreciation</t>
  </si>
  <si>
    <t>Tax deduction on depreciation</t>
  </si>
  <si>
    <t>Loan payment</t>
  </si>
  <si>
    <t>Loan Open</t>
  </si>
  <si>
    <t>Loan residual</t>
  </si>
  <si>
    <t>Interest component of loan payment</t>
  </si>
  <si>
    <t>Fixed annual O&amp;M</t>
  </si>
  <si>
    <t>Tax deduction for fixed O&amp;M</t>
  </si>
  <si>
    <t>Variable annual O&amp;M</t>
  </si>
  <si>
    <t>Tax deduction for variable O&amp;M</t>
  </si>
  <si>
    <t>annual fuel cost</t>
  </si>
  <si>
    <t>Tax dedustion for fuel cost</t>
  </si>
  <si>
    <t>Fuel cost after tax deduction</t>
  </si>
  <si>
    <t>Baseline</t>
  </si>
  <si>
    <t>Temperature</t>
  </si>
  <si>
    <t>Nominal Baseline Costs</t>
  </si>
  <si>
    <t>Present Value of Baseline Costs</t>
  </si>
  <si>
    <t>Nominal Biomass Costs</t>
  </si>
  <si>
    <t>Nominal Solar Costs</t>
  </si>
  <si>
    <t>Tax deduction on interest component</t>
  </si>
  <si>
    <t>Net O&amp;M cost after tax deduction</t>
  </si>
  <si>
    <t>$/kW</t>
  </si>
  <si>
    <t>Cost per kW 2014</t>
  </si>
  <si>
    <t>size (kWth)</t>
  </si>
  <si>
    <t>T</t>
  </si>
  <si>
    <t>Cost per kW at base capacity</t>
  </si>
  <si>
    <t>Reference Size</t>
  </si>
  <si>
    <t>LOBF Intercept</t>
  </si>
  <si>
    <t>LOBF Slope</t>
  </si>
  <si>
    <t>Cost Exponent</t>
  </si>
  <si>
    <t>Solar</t>
  </si>
  <si>
    <t>capex/year</t>
  </si>
  <si>
    <t>years</t>
  </si>
  <si>
    <t>Comments</t>
  </si>
  <si>
    <t>Units</t>
  </si>
  <si>
    <t>Various</t>
  </si>
  <si>
    <t>Project life</t>
  </si>
  <si>
    <t>Tax rate</t>
  </si>
  <si>
    <t>Study Inputs (for reference)</t>
  </si>
  <si>
    <t>Other</t>
  </si>
  <si>
    <t>Solar Thermal</t>
  </si>
  <si>
    <t>O&amp;M cost (excluding fuel) independent of generation.</t>
  </si>
  <si>
    <t xml:space="preserve">Cost of fuel (excluding boiler efficiency). </t>
  </si>
  <si>
    <t>Set to inflation to model no real price increase.</t>
  </si>
  <si>
    <t>n/a</t>
  </si>
  <si>
    <t>Nominal LCOE (energy sales not taxed)</t>
  </si>
  <si>
    <t>Nominal LCOE (energy sales taxed)</t>
  </si>
  <si>
    <t>Real LCOE (energy sales not taxed)</t>
  </si>
  <si>
    <t>Real LCOE (energy sales taxed)</t>
  </si>
  <si>
    <t>Backup</t>
  </si>
  <si>
    <t>Fuel efficiency.</t>
  </si>
  <si>
    <t>Summary of Options</t>
  </si>
  <si>
    <t>Calculated</t>
  </si>
  <si>
    <t>Total</t>
  </si>
  <si>
    <t>Backup Capex Estimator</t>
  </si>
  <si>
    <t>Inputs</t>
  </si>
  <si>
    <t>IRR relative to baseline</t>
  </si>
  <si>
    <t>NPV relative to baseline</t>
  </si>
  <si>
    <t>Solar + Backup</t>
  </si>
  <si>
    <t>O&amp;M cost (excluding fuel) per unit of generation</t>
  </si>
  <si>
    <t>O&amp;M cost (excluding fuel) independent of generation</t>
  </si>
  <si>
    <t>Set to inflation to model no real price increase</t>
  </si>
  <si>
    <t>Nominal Backup Costs (from below)</t>
  </si>
  <si>
    <t>Nominal Solar + Backup Savings</t>
  </si>
  <si>
    <t>Nominal Solar + Backup Costs</t>
  </si>
  <si>
    <t>Length of loan</t>
  </si>
  <si>
    <t>Nominal interest rate, compounded annually</t>
  </si>
  <si>
    <t>Straight line depreciation used to calculate tax deductions</t>
  </si>
  <si>
    <t>Length of analysis period/system life</t>
  </si>
  <si>
    <t>Solar Production Estimator</t>
  </si>
  <si>
    <t>Installed cost</t>
  </si>
  <si>
    <t>Notes</t>
  </si>
  <si>
    <t>Net contribution</t>
  </si>
  <si>
    <t>End of life salvage value (% of initial cap)</t>
  </si>
  <si>
    <r>
      <t>Temperature (</t>
    </r>
    <r>
      <rPr>
        <sz val="11"/>
        <color theme="1"/>
        <rFont val="Arial"/>
        <family val="2"/>
      </rPr>
      <t>°</t>
    </r>
    <r>
      <rPr>
        <sz val="11"/>
        <color theme="1"/>
        <rFont val="Calibri"/>
        <family val="2"/>
      </rPr>
      <t>C)</t>
    </r>
  </si>
  <si>
    <t>Cost of fuel (excluding efficiency)</t>
  </si>
  <si>
    <t>Financial Parameters</t>
  </si>
  <si>
    <t>Demand Parameters</t>
  </si>
  <si>
    <r>
      <t>Process Temperature (</t>
    </r>
    <r>
      <rPr>
        <sz val="11"/>
        <rFont val="Arial"/>
        <family val="2"/>
      </rPr>
      <t>°</t>
    </r>
    <r>
      <rPr>
        <sz val="11"/>
        <rFont val="Calibri"/>
        <family val="2"/>
      </rPr>
      <t>C)</t>
    </r>
  </si>
  <si>
    <t>Annualised Cost</t>
  </si>
  <si>
    <t>Total Capital Cost</t>
  </si>
  <si>
    <t>Year 1 gas cost</t>
  </si>
  <si>
    <t>Year 1 RE fuel cost</t>
  </si>
  <si>
    <t>Annual gas consumption</t>
  </si>
  <si>
    <t>Annual RE fuel consumption</t>
  </si>
  <si>
    <t>Installed Cost</t>
  </si>
  <si>
    <t>User scale factor</t>
  </si>
  <si>
    <t>Nominal Backup Costs</t>
  </si>
  <si>
    <t>Present Value of Backup Costs</t>
  </si>
  <si>
    <t>Present Value of Solar Costs (ex Salvage)</t>
  </si>
  <si>
    <t>Biomass + Backup</t>
  </si>
  <si>
    <t>Cost per unit capacity ($/kW)</t>
  </si>
  <si>
    <t>Name plate capacity (kW)</t>
  </si>
  <si>
    <t>Variable O&amp;M</t>
  </si>
  <si>
    <t>GJ/year</t>
  </si>
  <si>
    <t>°C</t>
  </si>
  <si>
    <t>Fraction of heat demand provided by baseline gas boiler</t>
  </si>
  <si>
    <t>Net RE Contribution</t>
  </si>
  <si>
    <t>Other + Backup</t>
  </si>
  <si>
    <t>Nominal Other + Backup Savings</t>
  </si>
  <si>
    <t>Nominal Other + Backup Costs</t>
  </si>
  <si>
    <t>Present Value of Other Costs (ex Salvage)</t>
  </si>
  <si>
    <t>Nominal Other Costs</t>
  </si>
  <si>
    <t>Present Value of Biomass Costs (ex Salvage)</t>
  </si>
  <si>
    <t>Nominal Biomass + Backup Costs</t>
  </si>
  <si>
    <t>Nominal Biomass + Backup Savings</t>
  </si>
  <si>
    <t>NatGas Boiler Capex Estimator</t>
  </si>
  <si>
    <t>Present Value of Other + Backup Savings</t>
  </si>
  <si>
    <t>Annual renewable fuel consumption</t>
  </si>
  <si>
    <t>Annual process energy production</t>
  </si>
  <si>
    <t>Real LCOE - energy sales not taxed</t>
  </si>
  <si>
    <t>Real LCOE - energy sales taxed (relevant to third part provider model)</t>
  </si>
  <si>
    <t>Desired rate of return on equity investment, note that calculations of IRR override this</t>
  </si>
  <si>
    <t>All technology options use this input and solve to ensure that this demand is met</t>
  </si>
  <si>
    <t>Process heat energy demand</t>
  </si>
  <si>
    <t>Used to calculate tax deductions - set to 0 to ignore tax issues</t>
  </si>
  <si>
    <t>30% or 0%</t>
  </si>
  <si>
    <t>This is applied to O&amp;M costs and for adjustment between Real and Nominal costs and discount rates. Fuel costs have separate escalation rates entered on other sheets</t>
  </si>
  <si>
    <t>Year 1 renewable fuel cost</t>
  </si>
  <si>
    <t>Gas fired backup</t>
  </si>
  <si>
    <t>Gas fired backup Capex Estimator</t>
  </si>
  <si>
    <t>Use cell G18 to estimate capex via calculator</t>
  </si>
  <si>
    <t>Identify site on map below and enter solar radiation level (GHI) to solar production estimator. This will establish the size of solar array needed to provide the desired level of process energy production. Note that the system costing estimator allows for enough storage for one days load. Unless the load can be adjusted to suit solar availability (day to day or seasonally), then specifying 100% solar is not realistic although it does provide a good starting point for comparison.</t>
  </si>
  <si>
    <t>Capacity Factor</t>
  </si>
  <si>
    <t>a</t>
  </si>
  <si>
    <t>e</t>
  </si>
  <si>
    <t>b</t>
  </si>
  <si>
    <t>c</t>
  </si>
  <si>
    <t>d</t>
  </si>
  <si>
    <t>CF Variance</t>
  </si>
  <si>
    <t>ArcTan Variance (scales ArcTan function from -1 to 1)</t>
  </si>
  <si>
    <t>Curvature (should be negative)</t>
  </si>
  <si>
    <t>Inflexion Point (temperature for mid-point CF - defined above)</t>
  </si>
  <si>
    <t>Sent to Formula</t>
  </si>
  <si>
    <t>CF Reference Mid-Point (scaled by GHI on Solar sheet, assuming Brisbane = 17)</t>
  </si>
  <si>
    <t>Capacity (kWth)</t>
  </si>
  <si>
    <t>Real LCOE - energy sales taxed (relevant to third party provider model)</t>
  </si>
  <si>
    <t>VLookUp Capacity Factor</t>
  </si>
  <si>
    <t>Calculated Capacity Factor (sent to Solar_DCF)</t>
  </si>
  <si>
    <t>Use cell G17 to estimate capex via calculator</t>
  </si>
  <si>
    <t>Enter irradiance into Solar Production Estimator to estimate thermal power capacity of solar collector</t>
  </si>
  <si>
    <t>Annual average irradiation (MJ/m2/day)</t>
  </si>
  <si>
    <t>% of capex covered by debt finance, for simplicity set to 0 and only discount rate is relevant or set to 100% and only loan interest is relevant</t>
  </si>
  <si>
    <t>Set to 0 to compare RE to avoided fuel costs of existing boiler, or use cell G22 to estimate capex of a new boiler. If finance payments are still due on the "baseline" system, enter the residual value from the baseline system.</t>
  </si>
  <si>
    <t>Set to 0 to compare RE to avoided fuel costs of existing boiler, or use cell G23 to estimate capex of a new boiler. If finance payments are still due on the "baseline" system, enter the residual value from the baseline system.</t>
  </si>
  <si>
    <t>O&amp;M cost (excluding fuel) per unit of generation. Note O&amp;M can be input as either variable, fixed or a mix.</t>
  </si>
  <si>
    <t>Cost of fuel (excluding efficiency). Use marginal cost or total contract cost / annual use as appropriate.</t>
  </si>
  <si>
    <t>User scale factor (to adjust installed cost if specific circumstance apply)</t>
  </si>
  <si>
    <t xml:space="preserve">Net fractional contribution </t>
  </si>
  <si>
    <t>Geothermal Capex Estimator</t>
  </si>
  <si>
    <t>Geothermal</t>
  </si>
  <si>
    <t>Heat Pump</t>
  </si>
  <si>
    <t>Temperature (°C)</t>
  </si>
  <si>
    <t>Heat Pump Capex Estimator</t>
  </si>
  <si>
    <t>Coefficient of Performance (kWth/kWe)</t>
  </si>
  <si>
    <t>kWe</t>
  </si>
  <si>
    <t>Cost per unit capacity ($/kWe)</t>
  </si>
  <si>
    <t>Name plate capacity (kWe)</t>
  </si>
  <si>
    <t>Cost of electricity</t>
  </si>
  <si>
    <t>c/kWh</t>
  </si>
  <si>
    <t>Cost of consumption component of electricity tariff</t>
  </si>
  <si>
    <t>Nominal Heat Pump Costs</t>
  </si>
  <si>
    <t>Present Value of Heat Pump Costs</t>
  </si>
  <si>
    <t>Nominal Heat Pump Savings</t>
  </si>
  <si>
    <t>Present Value of Heat Pump Savings</t>
  </si>
  <si>
    <t>Present Value of Solar + Backup Savings (ex Salvage)</t>
  </si>
  <si>
    <t>Present Value of Biomass + Backup Savings (ex Salvage)</t>
  </si>
  <si>
    <t>MWh</t>
  </si>
  <si>
    <t>Annual RE electricity consumption</t>
  </si>
  <si>
    <t>$/kWe</t>
  </si>
  <si>
    <t>Fraction of time heat pump is operating</t>
  </si>
  <si>
    <t>No fuel cost</t>
  </si>
  <si>
    <t>Electrical to thermal conversion efficiency (Coefficient of performance)</t>
  </si>
  <si>
    <t>Aquifer Depth</t>
  </si>
  <si>
    <t>m</t>
  </si>
  <si>
    <t>L/s</t>
  </si>
  <si>
    <t>Likely values between 10-100 L/s, depending on porosity of rock</t>
  </si>
  <si>
    <t>Well Doublet Depth (m)</t>
  </si>
  <si>
    <t>Heat output to electrical input</t>
  </si>
  <si>
    <t>Nominal Geothermal Costs</t>
  </si>
  <si>
    <t>Present Value of Geothermal Costs</t>
  </si>
  <si>
    <t>Nominal Geothermal Savings</t>
  </si>
  <si>
    <t>Present Value of Geothermal Savings</t>
  </si>
  <si>
    <t>MWhe</t>
  </si>
  <si>
    <t>Number of Wells</t>
  </si>
  <si>
    <t>Cost per metre (first well)</t>
  </si>
  <si>
    <t>Cost of fuel (excluding efficiency) - eg wood chips have 10 -16GJ/tonne</t>
  </si>
  <si>
    <t>Solar thermal</t>
  </si>
  <si>
    <t>Aquifer temperature</t>
  </si>
  <si>
    <t>Electricity cost escalation rate</t>
  </si>
  <si>
    <t>Electricity conversion efficiency</t>
  </si>
  <si>
    <t>Maximum Flow Rate</t>
  </si>
  <si>
    <t>Equivalent constant heat load</t>
  </si>
  <si>
    <t>MWth</t>
  </si>
  <si>
    <t>Thermal power rating of boiler</t>
  </si>
  <si>
    <t>Boiler efficiency</t>
  </si>
  <si>
    <t>Warnings</t>
  </si>
  <si>
    <t>Annual output compared to design point output over a year</t>
  </si>
  <si>
    <t>No fuel use</t>
  </si>
  <si>
    <t>Set to zero to compare renewable options to gas savings from an existing boiler for which the investment is  a sunk cost. For a comparison to a new build case, use cell G18 to estimate capex via calculator. If finance repayments are still required, enter residual amount and use this also in the "gas backup" inputs in other sheets.</t>
  </si>
  <si>
    <t>Relative thermodynamic efficiency</t>
  </si>
  <si>
    <t>Depth at which aquifer can be reached</t>
  </si>
  <si>
    <t>Temperature of aquifer</t>
  </si>
  <si>
    <t>Thermal rating of wells at maximum flow rate</t>
  </si>
  <si>
    <t>Electrical capacity of a heat pump meeting the thermal load at the specified capacity factor</t>
  </si>
  <si>
    <t>Nominal Biomass Costs (for Summary chart)</t>
  </si>
  <si>
    <t>Nominal Backup Costs (for Summary chart)</t>
  </si>
  <si>
    <t>Nominal Solar Costs (for Summary chart)</t>
  </si>
  <si>
    <t>Nominal Geothermal Costs (for Summary chart)</t>
  </si>
  <si>
    <t>Nominal Baseline Costs (for Summary chart)</t>
  </si>
  <si>
    <t>Nominal Heat Pump Costs (for Summary chart)</t>
  </si>
  <si>
    <t>Nominal Other Costs (for Summary chart)</t>
  </si>
  <si>
    <t>Thermal output relative to electricity required to drive pumps</t>
  </si>
  <si>
    <t>Utilisation of total potential heat output over a year</t>
  </si>
  <si>
    <t>Typical Energy Densities of Combustibles</t>
  </si>
  <si>
    <t>Bagasse (GJ/tonne)</t>
  </si>
  <si>
    <t>Firewood (GJ/tonne)</t>
  </si>
  <si>
    <t>Coal (GJ/tonne)</t>
  </si>
  <si>
    <t>Diesel (GJ/tonne)</t>
  </si>
  <si>
    <t>Methane (GJ/tonne)</t>
  </si>
  <si>
    <t>Fraction of heat demand to be provided by geothermal</t>
  </si>
  <si>
    <t>Cost of fuel (excluding boiler efficiency).</t>
  </si>
  <si>
    <t>Cost of fuel (excluding boiler efficiency). See energy densities below.</t>
  </si>
  <si>
    <t xml:space="preserve">Residual value of capex at end of project life. This could differ between technologies but for simplicity a single value is used </t>
  </si>
  <si>
    <t xml:space="preserve">Gas Boiler Capex Estimator </t>
  </si>
  <si>
    <t>Enter fixed component of O&amp;M cost as $/year. If there is a non zero installed cost, the corresponding fraction of capex per year is calculated for reference.</t>
  </si>
  <si>
    <t>Set to inflation to model no  increase in prices 'real' terms</t>
  </si>
  <si>
    <t>Bioenergy</t>
  </si>
  <si>
    <t>Bioenergy Capex Estimator</t>
  </si>
  <si>
    <t>USER INPUT TO WHITE CELLS ONLY</t>
  </si>
  <si>
    <r>
      <t xml:space="preserve">Solar Capex Estimator </t>
    </r>
    <r>
      <rPr>
        <b/>
        <sz val="11"/>
        <color theme="3"/>
        <rFont val="Calibri"/>
        <family val="2"/>
        <scheme val="minor"/>
      </rPr>
      <t>(estimation includes an approximate amount of storage for one day, uses scale factor if more required)</t>
    </r>
  </si>
  <si>
    <t xml:space="preserve">Parameters on this sheet are common inputs to the calculations in the "Baseline", "Biomass", "Solar Thermal" and "Other" technology options sheets. Strictly speaking aspects such as financing terms may differ between options according to risk profiles etc, however for simplicity common values are used here.
</t>
  </si>
  <si>
    <t>Installed cost RE</t>
  </si>
  <si>
    <t>Backup capacity</t>
  </si>
  <si>
    <t>Backup cost</t>
  </si>
  <si>
    <t>Total installed cost</t>
  </si>
</sst>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6" formatCode="&quot;$&quot;#,##0;[Red]\-&quot;$&quot;#,##0"/>
    <numFmt numFmtId="8" formatCode="&quot;$&quot;#,##0.00;[Red]\-&quot;$&quot;#,##0.00"/>
    <numFmt numFmtId="44" formatCode="_-&quot;$&quot;* #,##0.00_-;\-&quot;$&quot;* #,##0.00_-;_-&quot;$&quot;* &quot;-&quot;??_-;_-@_-"/>
    <numFmt numFmtId="164" formatCode="_(* #,##0.00_);_(* \(#,##0.00\);_(* &quot;-&quot;??_);_(@_)"/>
    <numFmt numFmtId="165" formatCode="0.0%"/>
    <numFmt numFmtId="166" formatCode="0.000"/>
    <numFmt numFmtId="167" formatCode="&quot;$&quot;#,##0.00"/>
    <numFmt numFmtId="168" formatCode="#,##0.0"/>
    <numFmt numFmtId="169" formatCode="0.00000"/>
    <numFmt numFmtId="170" formatCode="#,##0_ ;\-#,##0\ "/>
    <numFmt numFmtId="171" formatCode="&quot;$&quot;#,##0"/>
    <numFmt numFmtId="172" formatCode="0.0"/>
    <numFmt numFmtId="173" formatCode="&quot;$&quot;#,##0.0000;[Red]\-&quot;$&quot;#,##0.0000"/>
    <numFmt numFmtId="174" formatCode="&quot;$&quot;#,##0.0000"/>
    <numFmt numFmtId="175" formatCode="&quot;$&quot;#,##0.0000000"/>
    <numFmt numFmtId="176" formatCode="&quot;Less than &quot;0"/>
    <numFmt numFmtId="177" formatCode="_-&quot;$&quot;* #,##0_-;\-&quot;$&quot;* #,##0_-;_-&quot;$&quot;* &quot;-&quot;??_-;_-@_-"/>
  </numFmts>
  <fonts count="23" x14ac:knownFonts="1">
    <font>
      <sz val="11"/>
      <color theme="1"/>
      <name val="Calibri"/>
      <family val="2"/>
      <scheme val="minor"/>
    </font>
    <font>
      <sz val="11"/>
      <color theme="1"/>
      <name val="Calibri"/>
      <family val="2"/>
      <scheme val="minor"/>
    </font>
    <font>
      <sz val="9"/>
      <color indexed="81"/>
      <name val="Tahoma"/>
      <family val="2"/>
    </font>
    <font>
      <b/>
      <sz val="9"/>
      <color indexed="81"/>
      <name val="Tahoma"/>
      <family val="2"/>
    </font>
    <font>
      <b/>
      <sz val="15"/>
      <color theme="3"/>
      <name val="Calibri"/>
      <family val="2"/>
      <scheme val="minor"/>
    </font>
    <font>
      <sz val="10"/>
      <name val="Arial"/>
      <family val="2"/>
    </font>
    <font>
      <b/>
      <sz val="10"/>
      <name val="Arial"/>
      <family val="2"/>
    </font>
    <font>
      <sz val="10"/>
      <name val="Arial"/>
      <family val="2"/>
    </font>
    <font>
      <b/>
      <sz val="10"/>
      <name val="Arial"/>
      <family val="2"/>
    </font>
    <font>
      <b/>
      <sz val="11"/>
      <color theme="1"/>
      <name val="Calibri"/>
      <family val="2"/>
      <scheme val="minor"/>
    </font>
    <font>
      <sz val="11"/>
      <color theme="1"/>
      <name val="Arial"/>
      <family val="2"/>
    </font>
    <font>
      <sz val="11"/>
      <name val="Calibri"/>
      <family val="2"/>
      <scheme val="minor"/>
    </font>
    <font>
      <b/>
      <sz val="11"/>
      <color theme="3"/>
      <name val="Calibri"/>
      <family val="2"/>
      <scheme val="minor"/>
    </font>
    <font>
      <sz val="11"/>
      <color theme="1"/>
      <name val="Calibri"/>
      <family val="2"/>
    </font>
    <font>
      <sz val="11"/>
      <name val="Arial"/>
      <family val="2"/>
    </font>
    <font>
      <sz val="11"/>
      <name val="Calibri"/>
      <family val="2"/>
    </font>
    <font>
      <sz val="11"/>
      <color rgb="FFFF0000"/>
      <name val="Calibri"/>
      <family val="2"/>
      <scheme val="minor"/>
    </font>
    <font>
      <sz val="10"/>
      <name val="Calibri"/>
      <family val="2"/>
      <scheme val="minor"/>
    </font>
    <font>
      <b/>
      <sz val="10"/>
      <color rgb="FFFF0000"/>
      <name val="Calibri"/>
      <family val="2"/>
      <scheme val="minor"/>
    </font>
    <font>
      <b/>
      <sz val="11"/>
      <color rgb="FFFF0000"/>
      <name val="Calibri"/>
      <family val="2"/>
      <scheme val="minor"/>
    </font>
    <font>
      <b/>
      <sz val="15"/>
      <color rgb="FFFF0000"/>
      <name val="Calibri"/>
      <family val="2"/>
      <scheme val="minor"/>
    </font>
    <font>
      <b/>
      <sz val="12"/>
      <color rgb="FFFF0000"/>
      <name val="Calibri"/>
      <family val="2"/>
      <scheme val="minor"/>
    </font>
    <font>
      <b/>
      <sz val="14"/>
      <color rgb="FFFF0000"/>
      <name val="Calibri"/>
      <family val="2"/>
      <scheme val="minor"/>
    </font>
  </fonts>
  <fills count="17">
    <fill>
      <patternFill patternType="none"/>
    </fill>
    <fill>
      <patternFill patternType="gray125"/>
    </fill>
    <fill>
      <patternFill patternType="solid">
        <fgColor rgb="FFFFFF00"/>
        <bgColor indexed="64"/>
      </patternFill>
    </fill>
    <fill>
      <patternFill patternType="solid">
        <fgColor indexed="42"/>
        <bgColor indexed="64"/>
      </patternFill>
    </fill>
    <fill>
      <patternFill patternType="solid">
        <fgColor indexed="55"/>
        <bgColor indexed="64"/>
      </patternFill>
    </fill>
    <fill>
      <patternFill patternType="solid">
        <fgColor indexed="43"/>
        <bgColor indexed="64"/>
      </patternFill>
    </fill>
    <fill>
      <patternFill patternType="solid">
        <fgColor theme="0"/>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indexed="47"/>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rgb="FFC7F1C7"/>
        <bgColor indexed="64"/>
      </patternFill>
    </fill>
    <fill>
      <patternFill patternType="solid">
        <fgColor rgb="FFD9E1F2"/>
        <bgColor indexed="64"/>
      </patternFill>
    </fill>
    <fill>
      <patternFill patternType="solid">
        <fgColor rgb="FFA6E8A6"/>
        <bgColor indexed="64"/>
      </patternFill>
    </fill>
    <fill>
      <patternFill patternType="solid">
        <fgColor rgb="FFFFFF99"/>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medium">
        <color indexed="64"/>
      </right>
      <top/>
      <bottom style="medium">
        <color indexed="64"/>
      </bottom>
      <diagonal/>
    </border>
    <border>
      <left/>
      <right/>
      <top/>
      <bottom style="thick">
        <color theme="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s>
  <cellStyleXfs count="7">
    <xf numFmtId="0" fontId="0" fillId="0" borderId="0"/>
    <xf numFmtId="9" fontId="1" fillId="0" borderId="0" applyFont="0" applyFill="0" applyBorder="0" applyAlignment="0" applyProtection="0"/>
    <xf numFmtId="0" fontId="4" fillId="0" borderId="4" applyNumberFormat="0" applyFill="0" applyAlignment="0" applyProtection="0"/>
    <xf numFmtId="0" fontId="5" fillId="0" borderId="0"/>
    <xf numFmtId="9" fontId="5" fillId="0" borderId="0" applyFont="0" applyFill="0" applyBorder="0" applyAlignment="0" applyProtection="0"/>
    <xf numFmtId="164" fontId="5" fillId="0" borderId="0" applyFont="0" applyFill="0" applyBorder="0" applyAlignment="0" applyProtection="0"/>
    <xf numFmtId="44" fontId="1" fillId="0" borderId="0" applyFont="0" applyFill="0" applyBorder="0" applyAlignment="0" applyProtection="0"/>
  </cellStyleXfs>
  <cellXfs count="332">
    <xf numFmtId="0" fontId="0" fillId="0" borderId="0" xfId="0"/>
    <xf numFmtId="0" fontId="0" fillId="0" borderId="0" xfId="0" applyAlignment="1">
      <alignment horizontal="center"/>
    </xf>
    <xf numFmtId="0" fontId="4" fillId="2" borderId="4" xfId="2" applyFill="1"/>
    <xf numFmtId="0" fontId="5" fillId="3" borderId="0" xfId="3" applyFill="1" applyAlignment="1">
      <alignment wrapText="1"/>
    </xf>
    <xf numFmtId="0" fontId="5" fillId="4" borderId="0" xfId="3" applyFill="1"/>
    <xf numFmtId="0" fontId="5" fillId="5" borderId="1" xfId="3" applyFill="1" applyBorder="1" applyAlignment="1">
      <alignment wrapText="1"/>
    </xf>
    <xf numFmtId="0" fontId="5" fillId="5" borderId="1" xfId="3" applyFill="1" applyBorder="1"/>
    <xf numFmtId="0" fontId="7" fillId="5" borderId="1" xfId="3" applyFont="1" applyFill="1" applyBorder="1" applyAlignment="1">
      <alignment wrapText="1"/>
    </xf>
    <xf numFmtId="166" fontId="5" fillId="5" borderId="1" xfId="3" applyNumberFormat="1" applyFill="1" applyBorder="1"/>
    <xf numFmtId="165" fontId="0" fillId="0" borderId="1" xfId="4" applyNumberFormat="1" applyFont="1" applyFill="1" applyBorder="1"/>
    <xf numFmtId="0" fontId="8" fillId="5" borderId="1" xfId="3" applyFont="1" applyFill="1" applyBorder="1" applyAlignment="1">
      <alignment wrapText="1"/>
    </xf>
    <xf numFmtId="166" fontId="8" fillId="5" borderId="2" xfId="3" applyNumberFormat="1" applyFont="1" applyFill="1" applyBorder="1"/>
    <xf numFmtId="0" fontId="5" fillId="5" borderId="2" xfId="3" applyFill="1" applyBorder="1"/>
    <xf numFmtId="0" fontId="5" fillId="5" borderId="0" xfId="3" applyFill="1" applyBorder="1"/>
    <xf numFmtId="0" fontId="8" fillId="7" borderId="1" xfId="3" applyFont="1" applyFill="1" applyBorder="1" applyAlignment="1">
      <alignment wrapText="1"/>
    </xf>
    <xf numFmtId="166" fontId="8" fillId="7" borderId="2" xfId="3" applyNumberFormat="1" applyFont="1" applyFill="1" applyBorder="1"/>
    <xf numFmtId="0" fontId="5" fillId="7" borderId="2" xfId="3" applyFill="1" applyBorder="1"/>
    <xf numFmtId="0" fontId="5" fillId="7" borderId="0" xfId="3" applyFill="1" applyBorder="1"/>
    <xf numFmtId="0" fontId="5" fillId="8" borderId="1" xfId="3" applyFill="1" applyBorder="1"/>
    <xf numFmtId="167" fontId="5" fillId="5" borderId="1" xfId="3" applyNumberFormat="1" applyFill="1" applyBorder="1"/>
    <xf numFmtId="10" fontId="5" fillId="5" borderId="1" xfId="3" applyNumberFormat="1" applyFill="1" applyBorder="1"/>
    <xf numFmtId="168" fontId="5" fillId="5" borderId="1" xfId="3" applyNumberFormat="1" applyFill="1" applyBorder="1"/>
    <xf numFmtId="169" fontId="8" fillId="5" borderId="2" xfId="3" applyNumberFormat="1" applyFont="1" applyFill="1" applyBorder="1"/>
    <xf numFmtId="169" fontId="8" fillId="7" borderId="2" xfId="3" applyNumberFormat="1" applyFont="1" applyFill="1" applyBorder="1"/>
    <xf numFmtId="0" fontId="7" fillId="3" borderId="0" xfId="3" applyFont="1" applyFill="1" applyAlignment="1">
      <alignment wrapText="1"/>
    </xf>
    <xf numFmtId="0" fontId="5" fillId="9" borderId="1" xfId="3" applyFill="1" applyBorder="1" applyAlignment="1">
      <alignment wrapText="1"/>
    </xf>
    <xf numFmtId="0" fontId="5" fillId="9" borderId="1" xfId="3" applyFill="1" applyBorder="1"/>
    <xf numFmtId="10" fontId="5" fillId="9" borderId="1" xfId="3" applyNumberFormat="1" applyFill="1" applyBorder="1"/>
    <xf numFmtId="0" fontId="6" fillId="9" borderId="1" xfId="3" applyFont="1" applyFill="1" applyBorder="1" applyAlignment="1">
      <alignment wrapText="1"/>
    </xf>
    <xf numFmtId="0" fontId="8" fillId="9" borderId="1" xfId="3" applyFont="1" applyFill="1" applyBorder="1"/>
    <xf numFmtId="0" fontId="6" fillId="9" borderId="0" xfId="3" applyFont="1" applyFill="1" applyBorder="1" applyAlignment="1">
      <alignment wrapText="1"/>
    </xf>
    <xf numFmtId="0" fontId="8" fillId="9" borderId="0" xfId="3" applyFont="1" applyFill="1" applyBorder="1"/>
    <xf numFmtId="0" fontId="5" fillId="4" borderId="1" xfId="3" applyFill="1" applyBorder="1" applyAlignment="1">
      <alignment horizontal="right"/>
    </xf>
    <xf numFmtId="0" fontId="5" fillId="4" borderId="1" xfId="3" applyFill="1" applyBorder="1" applyAlignment="1">
      <alignment wrapText="1"/>
    </xf>
    <xf numFmtId="0" fontId="7" fillId="4" borderId="1" xfId="3" applyFont="1" applyFill="1" applyBorder="1" applyAlignment="1">
      <alignment wrapText="1"/>
    </xf>
    <xf numFmtId="0" fontId="5" fillId="4" borderId="1" xfId="3" applyFill="1" applyBorder="1"/>
    <xf numFmtId="170" fontId="0" fillId="4" borderId="1" xfId="5" applyNumberFormat="1" applyFont="1" applyFill="1" applyBorder="1"/>
    <xf numFmtId="167" fontId="5" fillId="4" borderId="1" xfId="3" applyNumberFormat="1" applyFill="1" applyBorder="1"/>
    <xf numFmtId="167" fontId="5" fillId="9" borderId="1" xfId="3" applyNumberFormat="1" applyFill="1" applyBorder="1"/>
    <xf numFmtId="0" fontId="5" fillId="10" borderId="1" xfId="3" applyFill="1" applyBorder="1"/>
    <xf numFmtId="167" fontId="5" fillId="10" borderId="1" xfId="3" applyNumberFormat="1" applyFill="1" applyBorder="1"/>
    <xf numFmtId="10" fontId="5" fillId="4" borderId="0" xfId="3" applyNumberFormat="1" applyFill="1"/>
    <xf numFmtId="0" fontId="5" fillId="10" borderId="1" xfId="3" applyFill="1" applyBorder="1" applyAlignment="1">
      <alignment horizontal="center" vertical="center" wrapText="1"/>
    </xf>
    <xf numFmtId="0" fontId="5" fillId="9" borderId="1" xfId="3" applyFill="1" applyBorder="1" applyAlignment="1">
      <alignment horizontal="center" vertical="center" wrapText="1"/>
    </xf>
    <xf numFmtId="166" fontId="5" fillId="4" borderId="1" xfId="3" applyNumberFormat="1" applyFill="1" applyBorder="1" applyAlignment="1">
      <alignment horizontal="center"/>
    </xf>
    <xf numFmtId="0" fontId="5" fillId="10" borderId="1" xfId="3" applyFill="1" applyBorder="1" applyAlignment="1">
      <alignment wrapText="1"/>
    </xf>
    <xf numFmtId="0" fontId="5" fillId="10" borderId="1" xfId="3" applyFont="1" applyFill="1" applyBorder="1" applyAlignment="1">
      <alignment wrapText="1"/>
    </xf>
    <xf numFmtId="173" fontId="5" fillId="4" borderId="0" xfId="3" applyNumberFormat="1" applyFill="1"/>
    <xf numFmtId="0" fontId="0" fillId="0" borderId="1" xfId="0" applyBorder="1"/>
    <xf numFmtId="0" fontId="0" fillId="0" borderId="1" xfId="0" applyBorder="1" applyAlignment="1">
      <alignment wrapText="1"/>
    </xf>
    <xf numFmtId="172" fontId="0" fillId="11" borderId="1" xfId="0" applyNumberFormat="1" applyFill="1" applyBorder="1"/>
    <xf numFmtId="172" fontId="0" fillId="0" borderId="1" xfId="0" applyNumberFormat="1" applyBorder="1"/>
    <xf numFmtId="2" fontId="0" fillId="0" borderId="1" xfId="0" applyNumberFormat="1" applyBorder="1"/>
    <xf numFmtId="1" fontId="0" fillId="0" borderId="1" xfId="0" applyNumberFormat="1" applyBorder="1" applyAlignment="1">
      <alignment horizontal="center"/>
    </xf>
    <xf numFmtId="0" fontId="0" fillId="0" borderId="2" xfId="0" applyBorder="1"/>
    <xf numFmtId="2" fontId="0" fillId="0" borderId="2" xfId="0" applyNumberFormat="1" applyBorder="1"/>
    <xf numFmtId="0" fontId="0" fillId="0" borderId="10" xfId="0" applyFill="1" applyBorder="1"/>
    <xf numFmtId="1" fontId="0" fillId="0" borderId="10" xfId="0" applyNumberFormat="1" applyFill="1" applyBorder="1"/>
    <xf numFmtId="0" fontId="0" fillId="2" borderId="10" xfId="0" applyFill="1" applyBorder="1"/>
    <xf numFmtId="0" fontId="0" fillId="2" borderId="0" xfId="0" applyFill="1"/>
    <xf numFmtId="171" fontId="0" fillId="0" borderId="0" xfId="0" applyNumberFormat="1"/>
    <xf numFmtId="3" fontId="5" fillId="8" borderId="1" xfId="3" applyNumberFormat="1" applyFill="1" applyBorder="1"/>
    <xf numFmtId="10" fontId="5" fillId="8" borderId="1" xfId="3" applyNumberFormat="1" applyFill="1" applyBorder="1"/>
    <xf numFmtId="167" fontId="5" fillId="8" borderId="1" xfId="3" applyNumberFormat="1" applyFill="1" applyBorder="1"/>
    <xf numFmtId="10" fontId="0" fillId="8" borderId="1" xfId="4" applyNumberFormat="1" applyFont="1" applyFill="1" applyBorder="1"/>
    <xf numFmtId="9" fontId="0" fillId="8" borderId="1" xfId="4" applyFont="1" applyFill="1" applyBorder="1"/>
    <xf numFmtId="165" fontId="0" fillId="8" borderId="1" xfId="4" applyNumberFormat="1" applyFont="1" applyFill="1" applyBorder="1"/>
    <xf numFmtId="0" fontId="5" fillId="5" borderId="1" xfId="3" applyFill="1" applyBorder="1" applyAlignment="1"/>
    <xf numFmtId="171" fontId="5" fillId="9" borderId="1" xfId="3" applyNumberFormat="1" applyFill="1" applyBorder="1"/>
    <xf numFmtId="9" fontId="5" fillId="4" borderId="0" xfId="3" applyNumberFormat="1" applyFill="1" applyAlignment="1">
      <alignment horizontal="center"/>
    </xf>
    <xf numFmtId="0" fontId="11" fillId="5" borderId="1" xfId="3" applyFont="1" applyFill="1" applyBorder="1" applyAlignment="1">
      <alignment wrapText="1"/>
    </xf>
    <xf numFmtId="0" fontId="11" fillId="5" borderId="1" xfId="3" applyFont="1" applyFill="1" applyBorder="1"/>
    <xf numFmtId="0" fontId="11" fillId="5" borderId="1" xfId="3" applyFont="1" applyFill="1" applyBorder="1" applyAlignment="1">
      <alignment vertical="center" wrapText="1"/>
    </xf>
    <xf numFmtId="0" fontId="11" fillId="5" borderId="1" xfId="3" applyFont="1" applyFill="1" applyBorder="1" applyAlignment="1">
      <alignment vertical="center"/>
    </xf>
    <xf numFmtId="0" fontId="11" fillId="5" borderId="1" xfId="3" applyFont="1" applyFill="1" applyBorder="1" applyAlignment="1">
      <alignment horizontal="center" vertical="center" wrapText="1"/>
    </xf>
    <xf numFmtId="165" fontId="11" fillId="5" borderId="1" xfId="1" applyNumberFormat="1" applyFont="1" applyFill="1" applyBorder="1" applyAlignment="1">
      <alignment horizontal="center" vertical="center" wrapText="1"/>
    </xf>
    <xf numFmtId="9" fontId="11" fillId="5" borderId="1" xfId="1" applyFont="1" applyFill="1" applyBorder="1" applyAlignment="1">
      <alignment horizontal="center" vertical="center" wrapText="1"/>
    </xf>
    <xf numFmtId="0" fontId="11" fillId="13" borderId="1" xfId="3" applyFont="1" applyFill="1" applyBorder="1" applyAlignment="1">
      <alignment wrapText="1"/>
    </xf>
    <xf numFmtId="3" fontId="11" fillId="13" borderId="1" xfId="3" applyNumberFormat="1" applyFont="1" applyFill="1" applyBorder="1"/>
    <xf numFmtId="0" fontId="11" fillId="13" borderId="1" xfId="3" applyFont="1" applyFill="1" applyBorder="1"/>
    <xf numFmtId="0" fontId="4" fillId="12" borderId="0" xfId="2" applyFill="1" applyBorder="1" applyAlignment="1">
      <alignment horizontal="left" vertical="center"/>
    </xf>
    <xf numFmtId="3" fontId="11" fillId="13" borderId="1" xfId="3" applyNumberFormat="1" applyFont="1" applyFill="1" applyBorder="1" applyAlignment="1">
      <alignment horizontal="right"/>
    </xf>
    <xf numFmtId="171" fontId="11" fillId="13" borderId="1" xfId="3" applyNumberFormat="1" applyFont="1" applyFill="1" applyBorder="1" applyAlignment="1">
      <alignment horizontal="right"/>
    </xf>
    <xf numFmtId="0" fontId="5" fillId="5" borderId="1" xfId="3" applyFill="1" applyBorder="1" applyAlignment="1">
      <alignment vertical="center"/>
    </xf>
    <xf numFmtId="9" fontId="5" fillId="8" borderId="1" xfId="3" applyNumberFormat="1" applyFill="1" applyBorder="1"/>
    <xf numFmtId="171" fontId="5" fillId="5" borderId="1" xfId="3" applyNumberFormat="1" applyFill="1" applyBorder="1"/>
    <xf numFmtId="3" fontId="5" fillId="5" borderId="1" xfId="3" applyNumberFormat="1" applyFill="1" applyBorder="1"/>
    <xf numFmtId="8" fontId="5" fillId="5" borderId="1" xfId="3" applyNumberFormat="1" applyFill="1" applyBorder="1"/>
    <xf numFmtId="3" fontId="5" fillId="4" borderId="0" xfId="3" applyNumberFormat="1" applyFill="1"/>
    <xf numFmtId="166" fontId="5" fillId="4" borderId="0" xfId="3" applyNumberFormat="1" applyFill="1"/>
    <xf numFmtId="10" fontId="5" fillId="5" borderId="1" xfId="1" applyNumberFormat="1" applyFont="1" applyFill="1" applyBorder="1"/>
    <xf numFmtId="169" fontId="8" fillId="5" borderId="14" xfId="3" applyNumberFormat="1" applyFont="1" applyFill="1" applyBorder="1"/>
    <xf numFmtId="169" fontId="8" fillId="7" borderId="14" xfId="3" applyNumberFormat="1" applyFont="1" applyFill="1" applyBorder="1"/>
    <xf numFmtId="0" fontId="5" fillId="7" borderId="1" xfId="3" applyFill="1" applyBorder="1"/>
    <xf numFmtId="0" fontId="4" fillId="12" borderId="1" xfId="2" applyFill="1" applyBorder="1" applyAlignment="1">
      <alignment horizontal="center" vertical="center"/>
    </xf>
    <xf numFmtId="9" fontId="0" fillId="8" borderId="2" xfId="4" applyFont="1" applyFill="1" applyBorder="1"/>
    <xf numFmtId="0" fontId="5" fillId="4" borderId="1" xfId="3" applyFill="1" applyBorder="1" applyAlignment="1">
      <alignment horizontal="center" vertical="center"/>
    </xf>
    <xf numFmtId="0" fontId="5" fillId="4" borderId="0" xfId="3" applyFill="1" applyAlignment="1">
      <alignment horizontal="center" vertical="center"/>
    </xf>
    <xf numFmtId="171" fontId="5" fillId="4" borderId="1" xfId="3" applyNumberFormat="1" applyFill="1" applyBorder="1"/>
    <xf numFmtId="0" fontId="11" fillId="5" borderId="1" xfId="3" applyFont="1" applyFill="1" applyBorder="1" applyAlignment="1">
      <alignment horizontal="left" vertical="center" wrapText="1"/>
    </xf>
    <xf numFmtId="0" fontId="5" fillId="5" borderId="1" xfId="3" applyFill="1" applyBorder="1" applyAlignment="1">
      <alignment horizontal="left" vertical="center"/>
    </xf>
    <xf numFmtId="9" fontId="5" fillId="5" borderId="13" xfId="1" applyFont="1" applyFill="1" applyBorder="1" applyAlignment="1">
      <alignment wrapText="1"/>
    </xf>
    <xf numFmtId="0" fontId="5" fillId="5" borderId="13" xfId="3" applyFill="1" applyBorder="1" applyAlignment="1">
      <alignment horizontal="right" wrapText="1"/>
    </xf>
    <xf numFmtId="0" fontId="5" fillId="5" borderId="13" xfId="3" applyFill="1" applyBorder="1" applyAlignment="1">
      <alignment wrapText="1"/>
    </xf>
    <xf numFmtId="165" fontId="5" fillId="5" borderId="13" xfId="1" applyNumberFormat="1" applyFont="1" applyFill="1" applyBorder="1" applyAlignment="1">
      <alignment wrapText="1"/>
    </xf>
    <xf numFmtId="0" fontId="5" fillId="5" borderId="13" xfId="3" applyFill="1" applyBorder="1" applyAlignment="1">
      <alignment horizontal="right" vertical="center" wrapText="1"/>
    </xf>
    <xf numFmtId="0" fontId="4" fillId="12" borderId="1" xfId="2" applyFill="1" applyBorder="1" applyAlignment="1">
      <alignment horizontal="left" vertical="center"/>
    </xf>
    <xf numFmtId="0" fontId="4" fillId="12" borderId="13" xfId="2" applyFill="1" applyBorder="1" applyAlignment="1">
      <alignment horizontal="left" vertical="center"/>
    </xf>
    <xf numFmtId="0" fontId="12" fillId="12" borderId="1" xfId="2" applyFont="1" applyFill="1" applyBorder="1" applyAlignment="1">
      <alignment horizontal="center" vertical="center" wrapText="1"/>
    </xf>
    <xf numFmtId="167" fontId="8" fillId="5" borderId="14" xfId="3" applyNumberFormat="1" applyFont="1" applyFill="1" applyBorder="1"/>
    <xf numFmtId="0" fontId="4" fillId="12" borderId="8" xfId="2" applyFill="1" applyBorder="1" applyAlignment="1">
      <alignment horizontal="left" vertical="center"/>
    </xf>
    <xf numFmtId="0" fontId="4" fillId="12" borderId="9" xfId="2" applyFill="1" applyBorder="1" applyAlignment="1">
      <alignment horizontal="left" vertical="center"/>
    </xf>
    <xf numFmtId="0" fontId="4" fillId="12" borderId="16" xfId="2" applyFill="1" applyBorder="1" applyAlignment="1">
      <alignment horizontal="left" vertical="center"/>
    </xf>
    <xf numFmtId="0" fontId="4" fillId="12" borderId="17" xfId="2" applyFill="1" applyBorder="1" applyAlignment="1">
      <alignment horizontal="left" vertical="center"/>
    </xf>
    <xf numFmtId="166" fontId="8" fillId="7" borderId="14" xfId="3" applyNumberFormat="1" applyFont="1" applyFill="1" applyBorder="1"/>
    <xf numFmtId="0" fontId="5" fillId="5" borderId="13" xfId="3" applyFill="1" applyBorder="1" applyAlignment="1">
      <alignment vertical="center" wrapText="1"/>
    </xf>
    <xf numFmtId="0" fontId="4" fillId="12" borderId="12" xfId="2" applyFill="1" applyBorder="1" applyAlignment="1">
      <alignment horizontal="left" vertical="center"/>
    </xf>
    <xf numFmtId="0" fontId="8" fillId="9" borderId="2" xfId="3" applyFont="1" applyFill="1" applyBorder="1"/>
    <xf numFmtId="0" fontId="5" fillId="4" borderId="18" xfId="3" applyFill="1" applyBorder="1" applyAlignment="1">
      <alignment horizontal="center" vertical="center" wrapText="1"/>
    </xf>
    <xf numFmtId="0" fontId="7" fillId="4" borderId="18" xfId="3" applyFont="1" applyFill="1" applyBorder="1" applyAlignment="1">
      <alignment horizontal="center" vertical="center" wrapText="1"/>
    </xf>
    <xf numFmtId="0" fontId="5" fillId="9" borderId="18" xfId="3" applyFill="1" applyBorder="1" applyAlignment="1">
      <alignment horizontal="center" vertical="center" wrapText="1"/>
    </xf>
    <xf numFmtId="0" fontId="4" fillId="12" borderId="15" xfId="2" applyFill="1" applyBorder="1" applyAlignment="1">
      <alignment horizontal="left" vertical="center"/>
    </xf>
    <xf numFmtId="0" fontId="4" fillId="14" borderId="15" xfId="2" applyFill="1" applyBorder="1" applyAlignment="1">
      <alignment horizontal="left" vertical="center"/>
    </xf>
    <xf numFmtId="0" fontId="5" fillId="14" borderId="18" xfId="3" applyFill="1" applyBorder="1" applyAlignment="1">
      <alignment horizontal="center" vertical="center" wrapText="1"/>
    </xf>
    <xf numFmtId="171" fontId="5" fillId="14" borderId="1" xfId="3" applyNumberFormat="1" applyFill="1" applyBorder="1"/>
    <xf numFmtId="0" fontId="5" fillId="14" borderId="1" xfId="3" applyFill="1" applyBorder="1" applyAlignment="1">
      <alignment wrapText="1"/>
    </xf>
    <xf numFmtId="0" fontId="5" fillId="14" borderId="18" xfId="3" applyFont="1" applyFill="1" applyBorder="1" applyAlignment="1">
      <alignment horizontal="center" vertical="center" wrapText="1"/>
    </xf>
    <xf numFmtId="0" fontId="5" fillId="14" borderId="1" xfId="3" applyFont="1" applyFill="1" applyBorder="1" applyAlignment="1">
      <alignment wrapText="1"/>
    </xf>
    <xf numFmtId="0" fontId="5" fillId="14" borderId="1" xfId="3" applyFill="1" applyBorder="1" applyAlignment="1">
      <alignment horizontal="center" vertical="center" wrapText="1"/>
    </xf>
    <xf numFmtId="171" fontId="0" fillId="10" borderId="3" xfId="0" applyNumberFormat="1" applyFill="1" applyBorder="1" applyAlignment="1">
      <alignment horizontal="center" vertical="center"/>
    </xf>
    <xf numFmtId="0" fontId="4" fillId="12" borderId="20" xfId="2" applyFill="1" applyBorder="1" applyAlignment="1">
      <alignment horizontal="left" vertical="center"/>
    </xf>
    <xf numFmtId="0" fontId="4" fillId="12" borderId="19" xfId="2" applyFill="1" applyBorder="1" applyAlignment="1">
      <alignment horizontal="left" vertical="center"/>
    </xf>
    <xf numFmtId="171" fontId="11" fillId="13" borderId="1" xfId="3" applyNumberFormat="1" applyFont="1" applyFill="1" applyBorder="1" applyAlignment="1">
      <alignment vertical="center"/>
    </xf>
    <xf numFmtId="171" fontId="11" fillId="13" borderId="1" xfId="3" applyNumberFormat="1" applyFont="1" applyFill="1" applyBorder="1" applyAlignment="1">
      <alignment horizontal="right" vertical="center"/>
    </xf>
    <xf numFmtId="171" fontId="0" fillId="10" borderId="6" xfId="0" applyNumberFormat="1" applyFill="1" applyBorder="1" applyAlignment="1">
      <alignment horizontal="center"/>
    </xf>
    <xf numFmtId="165" fontId="11" fillId="14" borderId="1" xfId="3" applyNumberFormat="1" applyFont="1" applyFill="1" applyBorder="1" applyAlignment="1">
      <alignment horizontal="right"/>
    </xf>
    <xf numFmtId="0" fontId="0" fillId="0" borderId="5" xfId="0" applyBorder="1" applyAlignment="1">
      <alignment vertical="center"/>
    </xf>
    <xf numFmtId="0" fontId="0" fillId="0" borderId="7" xfId="0" applyBorder="1" applyAlignment="1">
      <alignment vertical="center"/>
    </xf>
    <xf numFmtId="3" fontId="0" fillId="15" borderId="9" xfId="0" applyNumberFormat="1" applyFill="1" applyBorder="1" applyAlignment="1">
      <alignment horizontal="center" vertical="center"/>
    </xf>
    <xf numFmtId="167" fontId="5" fillId="4" borderId="0" xfId="3" applyNumberFormat="1" applyFill="1"/>
    <xf numFmtId="171" fontId="5" fillId="4" borderId="0" xfId="3" applyNumberFormat="1" applyFill="1"/>
    <xf numFmtId="174" fontId="5" fillId="4" borderId="0" xfId="3" applyNumberFormat="1" applyFill="1" applyAlignment="1">
      <alignment horizontal="center" vertical="center"/>
    </xf>
    <xf numFmtId="0" fontId="0" fillId="0" borderId="8" xfId="0" applyBorder="1" applyAlignment="1">
      <alignment horizontal="left"/>
    </xf>
    <xf numFmtId="9" fontId="5" fillId="5" borderId="13" xfId="3" applyNumberFormat="1" applyFill="1" applyBorder="1" applyAlignment="1">
      <alignment horizontal="right" wrapText="1"/>
    </xf>
    <xf numFmtId="9" fontId="5" fillId="5" borderId="13" xfId="1" applyFont="1" applyFill="1" applyBorder="1" applyAlignment="1">
      <alignment horizontal="right" wrapText="1"/>
    </xf>
    <xf numFmtId="171" fontId="5" fillId="8" borderId="1" xfId="3" applyNumberFormat="1" applyFill="1" applyBorder="1"/>
    <xf numFmtId="3" fontId="11" fillId="14" borderId="1" xfId="3" applyNumberFormat="1" applyFont="1" applyFill="1" applyBorder="1" applyAlignment="1">
      <alignment horizontal="right"/>
    </xf>
    <xf numFmtId="6" fontId="11" fillId="14" borderId="1" xfId="3" applyNumberFormat="1" applyFont="1" applyFill="1" applyBorder="1" applyAlignment="1">
      <alignment horizontal="right"/>
    </xf>
    <xf numFmtId="4" fontId="11" fillId="13" borderId="1" xfId="3" applyNumberFormat="1" applyFont="1" applyFill="1" applyBorder="1" applyAlignment="1">
      <alignment horizontal="right"/>
    </xf>
    <xf numFmtId="165" fontId="11" fillId="13" borderId="1" xfId="1" applyNumberFormat="1" applyFont="1" applyFill="1" applyBorder="1" applyAlignment="1">
      <alignment horizontal="right"/>
    </xf>
    <xf numFmtId="165" fontId="0" fillId="13" borderId="1" xfId="4" applyNumberFormat="1" applyFont="1" applyFill="1" applyBorder="1"/>
    <xf numFmtId="165" fontId="0" fillId="13" borderId="1" xfId="4" applyNumberFormat="1" applyFont="1" applyFill="1" applyBorder="1" applyAlignment="1">
      <alignment horizontal="right"/>
    </xf>
    <xf numFmtId="9" fontId="0" fillId="13" borderId="1" xfId="4" applyFont="1" applyFill="1" applyBorder="1"/>
    <xf numFmtId="9" fontId="0" fillId="13" borderId="1" xfId="4" applyFont="1" applyFill="1" applyBorder="1" applyAlignment="1">
      <alignment horizontal="right"/>
    </xf>
    <xf numFmtId="9" fontId="11" fillId="13" borderId="1" xfId="1" applyFont="1" applyFill="1" applyBorder="1"/>
    <xf numFmtId="172" fontId="11" fillId="13" borderId="1" xfId="3" applyNumberFormat="1" applyFont="1" applyFill="1" applyBorder="1"/>
    <xf numFmtId="0" fontId="11" fillId="13" borderId="1" xfId="3" applyFont="1" applyFill="1" applyBorder="1" applyAlignment="1">
      <alignment horizontal="right"/>
    </xf>
    <xf numFmtId="0" fontId="0" fillId="13" borderId="1" xfId="0" applyFont="1" applyFill="1" applyBorder="1" applyAlignment="1">
      <alignment horizontal="right"/>
    </xf>
    <xf numFmtId="9" fontId="0" fillId="13" borderId="1" xfId="0" applyNumberFormat="1" applyFont="1" applyFill="1" applyBorder="1"/>
    <xf numFmtId="0" fontId="11" fillId="13" borderId="12" xfId="3" applyFont="1" applyFill="1" applyBorder="1" applyAlignment="1">
      <alignment wrapText="1"/>
    </xf>
    <xf numFmtId="0" fontId="0" fillId="6" borderId="0" xfId="0" applyFill="1" applyBorder="1" applyAlignment="1">
      <alignment horizontal="center" vertical="center"/>
    </xf>
    <xf numFmtId="0" fontId="0" fillId="6" borderId="0" xfId="0" applyFill="1" applyBorder="1"/>
    <xf numFmtId="2" fontId="0" fillId="6" borderId="0" xfId="0" applyNumberFormat="1" applyFill="1" applyBorder="1"/>
    <xf numFmtId="0" fontId="0" fillId="6" borderId="0" xfId="0" applyFill="1"/>
    <xf numFmtId="0" fontId="5" fillId="6" borderId="0" xfId="3" applyFill="1" applyAlignment="1">
      <alignment wrapText="1"/>
    </xf>
    <xf numFmtId="0" fontId="5" fillId="6" borderId="0" xfId="3" applyFill="1"/>
    <xf numFmtId="0" fontId="0" fillId="6" borderId="0" xfId="0" applyFill="1" applyAlignment="1">
      <alignment horizontal="center"/>
    </xf>
    <xf numFmtId="0" fontId="0" fillId="6" borderId="0" xfId="0" applyFill="1" applyAlignment="1">
      <alignment horizontal="right"/>
    </xf>
    <xf numFmtId="0" fontId="0" fillId="6" borderId="0" xfId="0" applyFill="1" applyAlignment="1">
      <alignment horizontal="center" vertical="center"/>
    </xf>
    <xf numFmtId="0" fontId="5" fillId="6" borderId="0" xfId="3" applyFill="1" applyAlignment="1">
      <alignment horizontal="center" vertical="center"/>
    </xf>
    <xf numFmtId="0" fontId="0" fillId="6" borderId="0" xfId="0" applyFill="1" applyAlignment="1">
      <alignment vertical="center"/>
    </xf>
    <xf numFmtId="0" fontId="5" fillId="6" borderId="0" xfId="3" applyFill="1" applyAlignment="1">
      <alignment vertical="center"/>
    </xf>
    <xf numFmtId="10" fontId="5" fillId="6" borderId="0" xfId="1" applyNumberFormat="1" applyFont="1" applyFill="1"/>
    <xf numFmtId="9" fontId="5" fillId="6" borderId="0" xfId="1" applyNumberFormat="1" applyFont="1" applyFill="1"/>
    <xf numFmtId="0" fontId="11" fillId="6" borderId="0" xfId="3" applyFont="1" applyFill="1" applyBorder="1" applyAlignment="1">
      <alignment vertical="center"/>
    </xf>
    <xf numFmtId="167" fontId="0" fillId="6" borderId="0" xfId="0" applyNumberFormat="1" applyFill="1"/>
    <xf numFmtId="166" fontId="0" fillId="6" borderId="0" xfId="0" applyNumberFormat="1" applyFill="1"/>
    <xf numFmtId="6" fontId="5" fillId="5" borderId="1" xfId="3" applyNumberFormat="1" applyFill="1" applyBorder="1"/>
    <xf numFmtId="6" fontId="12" fillId="14" borderId="15" xfId="2" applyNumberFormat="1" applyFont="1" applyFill="1" applyBorder="1" applyAlignment="1">
      <alignment horizontal="left" vertical="center"/>
    </xf>
    <xf numFmtId="175" fontId="5" fillId="4" borderId="0" xfId="3" applyNumberFormat="1" applyFill="1"/>
    <xf numFmtId="176" fontId="9" fillId="0" borderId="0" xfId="0" applyNumberFormat="1" applyFont="1" applyAlignment="1">
      <alignment horizontal="center" vertical="center" wrapText="1"/>
    </xf>
    <xf numFmtId="176" fontId="9" fillId="0" borderId="0" xfId="0" applyNumberFormat="1" applyFont="1" applyFill="1" applyBorder="1" applyAlignment="1">
      <alignment horizontal="center" vertical="center" wrapText="1"/>
    </xf>
    <xf numFmtId="10" fontId="0" fillId="0" borderId="0" xfId="0" applyNumberFormat="1"/>
    <xf numFmtId="10" fontId="0" fillId="0" borderId="0" xfId="0" applyNumberFormat="1" applyAlignment="1">
      <alignment horizontal="center"/>
    </xf>
    <xf numFmtId="0" fontId="0" fillId="0" borderId="0" xfId="0" applyAlignment="1">
      <alignment horizontal="right"/>
    </xf>
    <xf numFmtId="0" fontId="0" fillId="10" borderId="0" xfId="0" applyFill="1"/>
    <xf numFmtId="0" fontId="0" fillId="0" borderId="0" xfId="0" applyFill="1"/>
    <xf numFmtId="165" fontId="0" fillId="2" borderId="0" xfId="1" applyNumberFormat="1" applyFont="1" applyFill="1" applyAlignment="1">
      <alignment horizontal="center"/>
    </xf>
    <xf numFmtId="0" fontId="11" fillId="5" borderId="13" xfId="3" applyFont="1" applyFill="1" applyBorder="1" applyAlignment="1">
      <alignment horizontal="right" vertical="center" wrapText="1"/>
    </xf>
    <xf numFmtId="0" fontId="11" fillId="13" borderId="1" xfId="3" applyFont="1" applyFill="1" applyBorder="1" applyAlignment="1">
      <alignment vertical="center" wrapText="1"/>
    </xf>
    <xf numFmtId="3" fontId="11" fillId="14" borderId="1" xfId="3" applyNumberFormat="1" applyFont="1" applyFill="1" applyBorder="1" applyAlignment="1">
      <alignment horizontal="right" vertical="center"/>
    </xf>
    <xf numFmtId="10" fontId="5" fillId="5" borderId="13" xfId="3" applyNumberFormat="1" applyFill="1" applyBorder="1" applyAlignment="1">
      <alignment horizontal="right" vertical="center" wrapText="1"/>
    </xf>
    <xf numFmtId="9" fontId="5" fillId="5" borderId="13" xfId="1" applyFont="1" applyFill="1" applyBorder="1" applyAlignment="1">
      <alignment horizontal="right" vertical="center" wrapText="1"/>
    </xf>
    <xf numFmtId="0" fontId="12" fillId="12" borderId="13" xfId="2" applyFont="1" applyFill="1" applyBorder="1" applyAlignment="1">
      <alignment horizontal="center" vertical="center" wrapText="1"/>
    </xf>
    <xf numFmtId="171" fontId="11" fillId="14" borderId="1" xfId="3" applyNumberFormat="1" applyFont="1" applyFill="1" applyBorder="1" applyAlignment="1">
      <alignment horizontal="right"/>
    </xf>
    <xf numFmtId="4" fontId="11" fillId="14" borderId="1" xfId="3" applyNumberFormat="1" applyFont="1" applyFill="1" applyBorder="1" applyAlignment="1">
      <alignment horizontal="right"/>
    </xf>
    <xf numFmtId="4" fontId="11" fillId="14" borderId="1" xfId="3" applyNumberFormat="1" applyFont="1" applyFill="1" applyBorder="1" applyAlignment="1">
      <alignment horizontal="right" vertical="center"/>
    </xf>
    <xf numFmtId="2" fontId="11" fillId="13" borderId="2" xfId="3" applyNumberFormat="1" applyFont="1" applyFill="1" applyBorder="1" applyAlignment="1">
      <alignment horizontal="right"/>
    </xf>
    <xf numFmtId="2" fontId="11" fillId="13" borderId="2" xfId="3" applyNumberFormat="1" applyFont="1" applyFill="1" applyBorder="1" applyAlignment="1">
      <alignment horizontal="right" vertical="center"/>
    </xf>
    <xf numFmtId="171" fontId="11" fillId="13" borderId="2" xfId="3" applyNumberFormat="1" applyFont="1" applyFill="1" applyBorder="1" applyAlignment="1">
      <alignment horizontal="right"/>
    </xf>
    <xf numFmtId="10" fontId="11" fillId="13" borderId="13" xfId="3" applyNumberFormat="1" applyFont="1" applyFill="1" applyBorder="1" applyAlignment="1">
      <alignment horizontal="right"/>
    </xf>
    <xf numFmtId="167" fontId="11" fillId="14" borderId="1" xfId="3" applyNumberFormat="1" applyFont="1" applyFill="1" applyBorder="1" applyAlignment="1">
      <alignment horizontal="right"/>
    </xf>
    <xf numFmtId="165" fontId="11" fillId="13" borderId="13" xfId="3" applyNumberFormat="1" applyFont="1" applyFill="1" applyBorder="1" applyAlignment="1">
      <alignment horizontal="right" vertical="center"/>
    </xf>
    <xf numFmtId="171" fontId="11" fillId="14" borderId="1" xfId="3" applyNumberFormat="1" applyFont="1" applyFill="1" applyBorder="1" applyAlignment="1">
      <alignment horizontal="right" vertical="center"/>
    </xf>
    <xf numFmtId="2" fontId="11" fillId="14" borderId="1" xfId="3" applyNumberFormat="1" applyFont="1" applyFill="1" applyBorder="1" applyAlignment="1">
      <alignment horizontal="right"/>
    </xf>
    <xf numFmtId="2" fontId="11" fillId="14" borderId="1" xfId="3" applyNumberFormat="1" applyFont="1" applyFill="1" applyBorder="1" applyAlignment="1">
      <alignment horizontal="right" vertical="center"/>
    </xf>
    <xf numFmtId="0" fontId="9" fillId="0" borderId="1" xfId="0"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165" fontId="0" fillId="6" borderId="0" xfId="1" applyNumberFormat="1" applyFont="1" applyFill="1" applyAlignment="1">
      <alignment horizontal="center"/>
    </xf>
    <xf numFmtId="1" fontId="0" fillId="0" borderId="6" xfId="0" applyNumberFormat="1" applyFill="1" applyBorder="1" applyAlignment="1" applyProtection="1">
      <alignment horizontal="center" vertical="center"/>
      <protection locked="0"/>
    </xf>
    <xf numFmtId="3" fontId="11" fillId="0" borderId="1" xfId="3" applyNumberFormat="1" applyFont="1" applyFill="1" applyBorder="1" applyProtection="1">
      <protection locked="0"/>
    </xf>
    <xf numFmtId="171" fontId="11" fillId="0" borderId="1" xfId="3" applyNumberFormat="1" applyFont="1" applyFill="1" applyBorder="1" applyAlignment="1" applyProtection="1">
      <alignment horizontal="right" vertical="center"/>
      <protection locked="0"/>
    </xf>
    <xf numFmtId="0" fontId="11" fillId="6" borderId="1" xfId="3" applyFont="1" applyFill="1" applyBorder="1" applyProtection="1">
      <protection locked="0"/>
    </xf>
    <xf numFmtId="165" fontId="1" fillId="6" borderId="1" xfId="4" applyNumberFormat="1" applyFont="1" applyFill="1" applyBorder="1" applyProtection="1">
      <protection locked="0"/>
    </xf>
    <xf numFmtId="10" fontId="11" fillId="6" borderId="1" xfId="3" applyNumberFormat="1" applyFont="1" applyFill="1" applyBorder="1" applyAlignment="1" applyProtection="1">
      <alignment vertical="center"/>
      <protection locked="0"/>
    </xf>
    <xf numFmtId="9" fontId="11" fillId="6" borderId="1" xfId="3" applyNumberFormat="1" applyFont="1" applyFill="1" applyBorder="1" applyProtection="1">
      <protection locked="0"/>
    </xf>
    <xf numFmtId="3" fontId="11" fillId="0" borderId="1" xfId="3" applyNumberFormat="1" applyFont="1" applyFill="1" applyBorder="1" applyAlignment="1" applyProtection="1">
      <alignment horizontal="center" vertical="center"/>
      <protection locked="0"/>
    </xf>
    <xf numFmtId="9" fontId="11" fillId="0" borderId="1" xfId="1" applyFont="1" applyFill="1" applyBorder="1" applyAlignment="1" applyProtection="1">
      <alignment horizontal="center" vertical="center"/>
      <protection locked="0"/>
    </xf>
    <xf numFmtId="0" fontId="11" fillId="0" borderId="1" xfId="3" applyFont="1" applyFill="1" applyBorder="1" applyAlignment="1" applyProtection="1">
      <alignment horizontal="center" vertical="center"/>
      <protection locked="0"/>
    </xf>
    <xf numFmtId="10" fontId="1" fillId="0" borderId="1" xfId="4" applyNumberFormat="1" applyFont="1" applyFill="1" applyBorder="1" applyAlignment="1" applyProtection="1">
      <alignment horizontal="center" vertical="center"/>
      <protection locked="0"/>
    </xf>
    <xf numFmtId="165" fontId="1" fillId="0" borderId="1" xfId="4" applyNumberFormat="1" applyFont="1" applyFill="1" applyBorder="1" applyAlignment="1" applyProtection="1">
      <alignment horizontal="center" vertical="center"/>
      <protection locked="0"/>
    </xf>
    <xf numFmtId="9" fontId="1" fillId="0" borderId="1" xfId="4" applyFont="1" applyFill="1" applyBorder="1" applyAlignment="1" applyProtection="1">
      <alignment horizontal="center" vertical="center"/>
      <protection locked="0"/>
    </xf>
    <xf numFmtId="10" fontId="0" fillId="6" borderId="1" xfId="4" applyNumberFormat="1" applyFont="1" applyFill="1" applyBorder="1" applyAlignment="1" applyProtection="1">
      <alignment horizontal="center"/>
      <protection locked="0"/>
    </xf>
    <xf numFmtId="9" fontId="11" fillId="6" borderId="1" xfId="1" applyFont="1" applyFill="1" applyBorder="1" applyProtection="1">
      <protection locked="0"/>
    </xf>
    <xf numFmtId="3" fontId="11" fillId="6" borderId="1" xfId="3" applyNumberFormat="1" applyFont="1" applyFill="1" applyBorder="1" applyProtection="1">
      <protection locked="0"/>
    </xf>
    <xf numFmtId="0" fontId="11" fillId="6" borderId="1" xfId="3" applyFont="1" applyFill="1" applyBorder="1" applyAlignment="1" applyProtection="1">
      <alignment vertical="center"/>
      <protection locked="0"/>
    </xf>
    <xf numFmtId="9" fontId="1" fillId="6" borderId="1" xfId="4" applyFont="1" applyFill="1" applyBorder="1" applyProtection="1">
      <protection locked="0"/>
    </xf>
    <xf numFmtId="171" fontId="11" fillId="0" borderId="1" xfId="3" applyNumberFormat="1" applyFont="1" applyFill="1" applyBorder="1" applyProtection="1">
      <protection locked="0"/>
    </xf>
    <xf numFmtId="3" fontId="11" fillId="13" borderId="1" xfId="3" applyNumberFormat="1" applyFont="1" applyFill="1" applyBorder="1" applyAlignment="1">
      <alignment vertical="center"/>
    </xf>
    <xf numFmtId="167" fontId="11" fillId="14" borderId="1" xfId="3" applyNumberFormat="1" applyFont="1" applyFill="1" applyBorder="1" applyAlignment="1">
      <alignment horizontal="right" vertical="center"/>
    </xf>
    <xf numFmtId="3" fontId="11" fillId="13" borderId="1" xfId="3" applyNumberFormat="1" applyFont="1" applyFill="1" applyBorder="1" applyAlignment="1">
      <alignment horizontal="right" vertical="center"/>
    </xf>
    <xf numFmtId="0" fontId="0" fillId="0" borderId="5" xfId="0" applyBorder="1" applyAlignment="1">
      <alignment vertical="center" wrapText="1"/>
    </xf>
    <xf numFmtId="0" fontId="16" fillId="0" borderId="0" xfId="0" applyFont="1"/>
    <xf numFmtId="1" fontId="0" fillId="0" borderId="0" xfId="0" applyNumberFormat="1"/>
    <xf numFmtId="0" fontId="4" fillId="12" borderId="1" xfId="2" applyFill="1" applyBorder="1" applyAlignment="1">
      <alignment horizontal="center" vertical="center"/>
    </xf>
    <xf numFmtId="0" fontId="11" fillId="6" borderId="1" xfId="3" applyFont="1" applyFill="1" applyBorder="1" applyAlignment="1" applyProtection="1">
      <alignment horizontal="right" vertical="center"/>
      <protection locked="0"/>
    </xf>
    <xf numFmtId="165" fontId="5" fillId="5" borderId="13" xfId="1" applyNumberFormat="1" applyFont="1" applyFill="1" applyBorder="1" applyAlignment="1">
      <alignment vertical="center" wrapText="1"/>
    </xf>
    <xf numFmtId="168" fontId="11" fillId="13" borderId="1" xfId="3" applyNumberFormat="1" applyFont="1" applyFill="1" applyBorder="1" applyAlignment="1">
      <alignment vertical="center"/>
    </xf>
    <xf numFmtId="2" fontId="11" fillId="13" borderId="1" xfId="3" applyNumberFormat="1" applyFont="1" applyFill="1" applyBorder="1" applyAlignment="1">
      <alignment horizontal="right"/>
    </xf>
    <xf numFmtId="165" fontId="5" fillId="5" borderId="13" xfId="3" applyNumberFormat="1" applyFill="1" applyBorder="1" applyAlignment="1">
      <alignment horizontal="right" vertical="center" wrapText="1"/>
    </xf>
    <xf numFmtId="9" fontId="11" fillId="13" borderId="13" xfId="3" applyNumberFormat="1" applyFont="1" applyFill="1" applyBorder="1" applyAlignment="1">
      <alignment horizontal="right" vertical="center"/>
    </xf>
    <xf numFmtId="1" fontId="11" fillId="6" borderId="1" xfId="1" applyNumberFormat="1" applyFont="1" applyFill="1" applyBorder="1" applyProtection="1">
      <protection locked="0"/>
    </xf>
    <xf numFmtId="1" fontId="11" fillId="6" borderId="13" xfId="1" applyNumberFormat="1" applyFont="1" applyFill="1" applyBorder="1" applyProtection="1">
      <protection locked="0"/>
    </xf>
    <xf numFmtId="165" fontId="5" fillId="5" borderId="1" xfId="1" applyNumberFormat="1" applyFont="1" applyFill="1" applyBorder="1"/>
    <xf numFmtId="9" fontId="5" fillId="4" borderId="0" xfId="3" applyNumberFormat="1" applyFill="1"/>
    <xf numFmtId="172" fontId="11" fillId="13" borderId="1" xfId="3" applyNumberFormat="1" applyFont="1" applyFill="1" applyBorder="1" applyAlignment="1">
      <alignment horizontal="right"/>
    </xf>
    <xf numFmtId="165" fontId="11" fillId="13" borderId="1" xfId="1" applyNumberFormat="1" applyFont="1" applyFill="1" applyBorder="1"/>
    <xf numFmtId="3" fontId="17" fillId="13" borderId="1" xfId="3" applyNumberFormat="1" applyFont="1" applyFill="1" applyBorder="1" applyAlignment="1">
      <alignment horizontal="right" wrapText="1"/>
    </xf>
    <xf numFmtId="0" fontId="18" fillId="12" borderId="1" xfId="2" applyFont="1" applyFill="1" applyBorder="1" applyAlignment="1">
      <alignment horizontal="center" vertical="center" wrapText="1"/>
    </xf>
    <xf numFmtId="0" fontId="18" fillId="12" borderId="1" xfId="2" applyFont="1" applyFill="1" applyBorder="1" applyAlignment="1">
      <alignment horizontal="left" vertical="center"/>
    </xf>
    <xf numFmtId="165" fontId="5" fillId="5" borderId="13" xfId="1" applyNumberFormat="1" applyFont="1" applyFill="1" applyBorder="1" applyAlignment="1">
      <alignment horizontal="right" vertical="center" wrapText="1"/>
    </xf>
    <xf numFmtId="165" fontId="5" fillId="5" borderId="13" xfId="1" applyNumberFormat="1" applyFont="1" applyFill="1" applyBorder="1" applyAlignment="1">
      <alignment horizontal="right" wrapText="1"/>
    </xf>
    <xf numFmtId="9" fontId="11" fillId="13" borderId="1" xfId="1" applyFont="1" applyFill="1" applyBorder="1" applyProtection="1">
      <protection locked="0"/>
    </xf>
    <xf numFmtId="0" fontId="4" fillId="12" borderId="1" xfId="2" applyFill="1" applyBorder="1" applyAlignment="1">
      <alignment vertical="center"/>
    </xf>
    <xf numFmtId="0" fontId="4" fillId="12" borderId="20" xfId="2" applyFill="1" applyBorder="1" applyAlignment="1">
      <alignment vertical="center"/>
    </xf>
    <xf numFmtId="0" fontId="12" fillId="12" borderId="1" xfId="2" applyFont="1" applyFill="1" applyBorder="1" applyAlignment="1">
      <alignment horizontal="left" vertical="center" wrapText="1"/>
    </xf>
    <xf numFmtId="0" fontId="11" fillId="5" borderId="1" xfId="3" applyFont="1" applyFill="1" applyBorder="1" applyAlignment="1">
      <alignment horizontal="left" vertical="center"/>
    </xf>
    <xf numFmtId="165" fontId="11" fillId="13" borderId="1" xfId="1" applyNumberFormat="1" applyFont="1" applyFill="1" applyBorder="1" applyAlignment="1">
      <alignment vertical="center"/>
    </xf>
    <xf numFmtId="171" fontId="1" fillId="13" borderId="13" xfId="4" applyNumberFormat="1" applyFont="1" applyFill="1" applyBorder="1" applyProtection="1">
      <protection locked="0"/>
    </xf>
    <xf numFmtId="9" fontId="5" fillId="5" borderId="13" xfId="1" applyFont="1" applyFill="1" applyBorder="1" applyAlignment="1">
      <alignment vertical="center" wrapText="1"/>
    </xf>
    <xf numFmtId="9" fontId="11" fillId="6" borderId="1" xfId="1" applyFont="1" applyFill="1" applyBorder="1" applyAlignment="1" applyProtection="1">
      <alignment vertical="center"/>
      <protection locked="0"/>
    </xf>
    <xf numFmtId="171" fontId="11" fillId="0" borderId="1" xfId="3" applyNumberFormat="1" applyFont="1" applyFill="1" applyBorder="1" applyAlignment="1" applyProtection="1">
      <alignment vertical="center"/>
      <protection locked="0"/>
    </xf>
    <xf numFmtId="165" fontId="1" fillId="6" borderId="1" xfId="4" applyNumberFormat="1" applyFont="1" applyFill="1" applyBorder="1" applyAlignment="1" applyProtection="1">
      <alignment vertical="center"/>
      <protection locked="0"/>
    </xf>
    <xf numFmtId="171" fontId="1" fillId="13" borderId="13" xfId="4" applyNumberFormat="1" applyFont="1" applyFill="1" applyBorder="1" applyAlignment="1" applyProtection="1">
      <alignment vertical="center"/>
      <protection locked="0"/>
    </xf>
    <xf numFmtId="3" fontId="11" fillId="6" borderId="1" xfId="3" applyNumberFormat="1" applyFont="1" applyFill="1" applyBorder="1" applyAlignment="1" applyProtection="1">
      <alignment vertical="center"/>
      <protection locked="0"/>
    </xf>
    <xf numFmtId="9" fontId="1" fillId="6" borderId="1" xfId="4" applyFont="1" applyFill="1" applyBorder="1" applyAlignment="1" applyProtection="1">
      <alignment vertical="center"/>
      <protection locked="0"/>
    </xf>
    <xf numFmtId="171" fontId="11" fillId="6" borderId="1" xfId="6" applyNumberFormat="1" applyFont="1" applyFill="1" applyBorder="1" applyAlignment="1" applyProtection="1">
      <alignment vertical="center"/>
      <protection locked="0"/>
    </xf>
    <xf numFmtId="171" fontId="11" fillId="13" borderId="1" xfId="3" applyNumberFormat="1" applyFont="1" applyFill="1" applyBorder="1" applyProtection="1">
      <protection locked="0"/>
    </xf>
    <xf numFmtId="165" fontId="11" fillId="13" borderId="1" xfId="3" applyNumberFormat="1" applyFont="1" applyFill="1" applyBorder="1" applyAlignment="1">
      <alignment vertical="center"/>
    </xf>
    <xf numFmtId="9" fontId="11" fillId="5" borderId="13" xfId="3" applyNumberFormat="1" applyFont="1" applyFill="1" applyBorder="1" applyAlignment="1">
      <alignment horizontal="right" vertical="center" wrapText="1"/>
    </xf>
    <xf numFmtId="9" fontId="11" fillId="5" borderId="13" xfId="1" applyFont="1" applyFill="1" applyBorder="1" applyAlignment="1">
      <alignment horizontal="right" vertical="center" wrapText="1"/>
    </xf>
    <xf numFmtId="9" fontId="5" fillId="5" borderId="1" xfId="1" applyFont="1" applyFill="1" applyBorder="1" applyAlignment="1">
      <alignment horizontal="right" wrapText="1"/>
    </xf>
    <xf numFmtId="0" fontId="5" fillId="5" borderId="1" xfId="3" applyFill="1" applyBorder="1" applyAlignment="1">
      <alignment horizontal="right" wrapText="1"/>
    </xf>
    <xf numFmtId="0" fontId="0" fillId="16" borderId="1" xfId="0" applyFill="1" applyBorder="1" applyAlignment="1">
      <alignment horizontal="left"/>
    </xf>
    <xf numFmtId="9" fontId="5" fillId="5" borderId="1" xfId="3" applyNumberFormat="1" applyFill="1" applyBorder="1" applyAlignment="1">
      <alignment horizontal="right" wrapText="1"/>
    </xf>
    <xf numFmtId="0" fontId="5" fillId="5" borderId="1" xfId="3" applyFill="1" applyBorder="1" applyAlignment="1">
      <alignment horizontal="right" vertical="center" wrapText="1"/>
    </xf>
    <xf numFmtId="0" fontId="5" fillId="5" borderId="1" xfId="3" applyFill="1" applyBorder="1" applyAlignment="1">
      <alignment vertical="center" wrapText="1"/>
    </xf>
    <xf numFmtId="165" fontId="5" fillId="5" borderId="1" xfId="1" applyNumberFormat="1" applyFont="1" applyFill="1" applyBorder="1" applyAlignment="1">
      <alignment horizontal="right" vertical="center" wrapText="1"/>
    </xf>
    <xf numFmtId="165" fontId="5" fillId="5" borderId="1" xfId="1" applyNumberFormat="1" applyFont="1" applyFill="1" applyBorder="1" applyAlignment="1">
      <alignment vertical="center" wrapText="1"/>
    </xf>
    <xf numFmtId="10" fontId="5" fillId="5" borderId="1" xfId="3" applyNumberFormat="1" applyFill="1" applyBorder="1" applyAlignment="1">
      <alignment horizontal="right" vertical="center" wrapText="1"/>
    </xf>
    <xf numFmtId="2" fontId="11" fillId="13" borderId="1" xfId="3" applyNumberFormat="1" applyFont="1" applyFill="1" applyBorder="1" applyAlignment="1">
      <alignment horizontal="right" vertical="center"/>
    </xf>
    <xf numFmtId="10" fontId="11" fillId="13" borderId="1" xfId="3" applyNumberFormat="1" applyFont="1" applyFill="1" applyBorder="1" applyAlignment="1">
      <alignment horizontal="right" vertical="center"/>
    </xf>
    <xf numFmtId="6" fontId="11" fillId="13" borderId="1" xfId="3" applyNumberFormat="1" applyFont="1" applyFill="1" applyBorder="1" applyAlignment="1">
      <alignment horizontal="right"/>
    </xf>
    <xf numFmtId="0" fontId="20" fillId="12" borderId="20" xfId="2" applyFont="1" applyFill="1" applyBorder="1" applyAlignment="1">
      <alignment horizontal="left" vertical="center"/>
    </xf>
    <xf numFmtId="0" fontId="5" fillId="5" borderId="12" xfId="3" applyFill="1" applyBorder="1" applyAlignment="1">
      <alignment vertical="center"/>
    </xf>
    <xf numFmtId="3" fontId="0" fillId="15" borderId="1" xfId="0" applyNumberFormat="1" applyFill="1" applyBorder="1" applyAlignment="1">
      <alignment horizontal="center" vertical="center"/>
    </xf>
    <xf numFmtId="171" fontId="0" fillId="10" borderId="1" xfId="0" applyNumberFormat="1" applyFill="1" applyBorder="1" applyAlignment="1">
      <alignment horizontal="center" vertical="center"/>
    </xf>
    <xf numFmtId="1" fontId="0" fillId="0" borderId="1" xfId="0" applyNumberFormat="1" applyFill="1" applyBorder="1" applyAlignment="1" applyProtection="1">
      <alignment horizontal="center" vertical="center"/>
      <protection locked="0"/>
    </xf>
    <xf numFmtId="3" fontId="0" fillId="0" borderId="1" xfId="0" applyNumberFormat="1" applyFill="1" applyBorder="1" applyAlignment="1" applyProtection="1">
      <alignment horizontal="center" vertical="center"/>
      <protection locked="0"/>
    </xf>
    <xf numFmtId="1" fontId="0" fillId="13" borderId="1" xfId="0" applyNumberFormat="1" applyFill="1" applyBorder="1" applyAlignment="1">
      <alignment horizontal="center" vertical="center"/>
    </xf>
    <xf numFmtId="9" fontId="0" fillId="13" borderId="1" xfId="1" applyFont="1" applyFill="1" applyBorder="1" applyAlignment="1">
      <alignment horizontal="center" vertical="center"/>
    </xf>
    <xf numFmtId="165" fontId="0" fillId="13" borderId="1" xfId="1" applyNumberFormat="1" applyFont="1" applyFill="1" applyBorder="1" applyAlignment="1">
      <alignment horizontal="center"/>
    </xf>
    <xf numFmtId="3" fontId="0" fillId="10" borderId="1" xfId="0" applyNumberFormat="1" applyFill="1" applyBorder="1" applyAlignment="1">
      <alignment horizontal="center"/>
    </xf>
    <xf numFmtId="3" fontId="0" fillId="13" borderId="1" xfId="0" applyNumberFormat="1" applyFill="1" applyBorder="1" applyAlignment="1">
      <alignment horizontal="center" vertical="center"/>
    </xf>
    <xf numFmtId="171" fontId="0" fillId="10" borderId="1" xfId="0" applyNumberFormat="1" applyFill="1" applyBorder="1" applyAlignment="1">
      <alignment horizontal="center"/>
    </xf>
    <xf numFmtId="167" fontId="0" fillId="10" borderId="1" xfId="0" applyNumberFormat="1" applyFill="1" applyBorder="1" applyAlignment="1">
      <alignment horizontal="center" vertical="center"/>
    </xf>
    <xf numFmtId="0" fontId="4" fillId="12" borderId="1" xfId="2" applyFill="1" applyBorder="1" applyAlignment="1">
      <alignment horizontal="left" vertical="center" wrapText="1"/>
    </xf>
    <xf numFmtId="2" fontId="0" fillId="15" borderId="1" xfId="0" applyNumberFormat="1" applyFill="1" applyBorder="1" applyAlignment="1">
      <alignment horizontal="center" vertical="center"/>
    </xf>
    <xf numFmtId="0" fontId="19" fillId="12" borderId="1" xfId="2" applyFont="1" applyFill="1" applyBorder="1" applyAlignment="1">
      <alignment horizontal="left" vertical="center"/>
    </xf>
    <xf numFmtId="0" fontId="22" fillId="12" borderId="20" xfId="2" applyFont="1" applyFill="1" applyBorder="1" applyAlignment="1">
      <alignment horizontal="left" vertical="center"/>
    </xf>
    <xf numFmtId="0" fontId="22" fillId="12" borderId="13" xfId="2" applyFont="1" applyFill="1" applyBorder="1" applyAlignment="1">
      <alignment horizontal="left" vertical="center"/>
    </xf>
    <xf numFmtId="0" fontId="21" fillId="12" borderId="20" xfId="2" applyFont="1" applyFill="1" applyBorder="1" applyAlignment="1">
      <alignment horizontal="left" vertical="center"/>
    </xf>
    <xf numFmtId="1" fontId="0" fillId="10" borderId="1" xfId="0" applyNumberFormat="1" applyFill="1" applyBorder="1" applyAlignment="1">
      <alignment horizontal="center"/>
    </xf>
    <xf numFmtId="9" fontId="7" fillId="5" borderId="1" xfId="1" applyFont="1" applyFill="1" applyBorder="1" applyAlignment="1">
      <alignment horizontal="center" wrapText="1"/>
    </xf>
    <xf numFmtId="44" fontId="0" fillId="13" borderId="1" xfId="6" applyFont="1" applyFill="1" applyBorder="1"/>
    <xf numFmtId="177" fontId="0" fillId="13" borderId="1" xfId="6" applyNumberFormat="1" applyFont="1" applyFill="1" applyBorder="1"/>
    <xf numFmtId="168" fontId="11" fillId="13" borderId="1" xfId="3" applyNumberFormat="1" applyFont="1" applyFill="1" applyBorder="1" applyAlignment="1" applyProtection="1">
      <alignment horizontal="center" vertical="center"/>
    </xf>
    <xf numFmtId="9" fontId="11" fillId="13" borderId="1" xfId="1" applyFont="1" applyFill="1" applyBorder="1" applyProtection="1"/>
    <xf numFmtId="165" fontId="1" fillId="13" borderId="1" xfId="4" applyNumberFormat="1" applyFont="1" applyFill="1" applyBorder="1" applyAlignment="1" applyProtection="1">
      <alignment vertical="center"/>
    </xf>
    <xf numFmtId="171" fontId="1" fillId="13" borderId="1" xfId="4" applyNumberFormat="1" applyFont="1" applyFill="1" applyBorder="1" applyProtection="1"/>
    <xf numFmtId="171" fontId="1" fillId="13" borderId="1" xfId="4" applyNumberFormat="1" applyFont="1" applyFill="1" applyBorder="1" applyAlignment="1" applyProtection="1">
      <alignment vertical="center"/>
    </xf>
    <xf numFmtId="165" fontId="11" fillId="13" borderId="1" xfId="1" applyNumberFormat="1" applyFont="1" applyFill="1" applyBorder="1" applyAlignment="1" applyProtection="1">
      <alignment vertical="center"/>
    </xf>
    <xf numFmtId="171" fontId="1" fillId="13" borderId="13" xfId="4" applyNumberFormat="1" applyFont="1" applyFill="1" applyBorder="1" applyAlignment="1" applyProtection="1">
      <alignment vertical="center"/>
    </xf>
    <xf numFmtId="0" fontId="11" fillId="0" borderId="13" xfId="3" applyFont="1" applyFill="1" applyBorder="1" applyAlignment="1" applyProtection="1">
      <alignment horizontal="right" vertical="center" wrapText="1"/>
      <protection locked="0"/>
    </xf>
    <xf numFmtId="165" fontId="11" fillId="0" borderId="13" xfId="3" applyNumberFormat="1" applyFont="1" applyFill="1" applyBorder="1" applyAlignment="1" applyProtection="1">
      <alignment horizontal="right" vertical="center" wrapText="1"/>
      <protection locked="0"/>
    </xf>
    <xf numFmtId="9" fontId="0" fillId="6" borderId="1" xfId="1" applyFont="1" applyFill="1" applyBorder="1" applyAlignment="1" applyProtection="1">
      <alignment horizontal="center"/>
      <protection locked="0"/>
    </xf>
    <xf numFmtId="0" fontId="11" fillId="5" borderId="1" xfId="3" applyFont="1" applyFill="1" applyBorder="1" applyAlignment="1">
      <alignment horizontal="left" vertical="center" wrapText="1"/>
    </xf>
    <xf numFmtId="0" fontId="11" fillId="5" borderId="1" xfId="3" applyFont="1" applyFill="1" applyBorder="1" applyAlignment="1">
      <alignment horizontal="left" vertical="center"/>
    </xf>
    <xf numFmtId="0" fontId="11" fillId="5" borderId="2" xfId="3" applyFont="1" applyFill="1" applyBorder="1" applyAlignment="1">
      <alignment vertical="center"/>
    </xf>
    <xf numFmtId="0" fontId="11" fillId="5" borderId="18" xfId="3" applyFont="1" applyFill="1" applyBorder="1" applyAlignment="1">
      <alignment vertical="center"/>
    </xf>
    <xf numFmtId="0" fontId="11" fillId="5" borderId="2" xfId="3" applyFont="1" applyFill="1" applyBorder="1" applyAlignment="1">
      <alignment horizontal="left" vertical="center" wrapText="1"/>
    </xf>
    <xf numFmtId="0" fontId="11" fillId="5" borderId="18" xfId="3" applyFont="1" applyFill="1" applyBorder="1" applyAlignment="1">
      <alignment horizontal="left" vertical="center" wrapText="1"/>
    </xf>
    <xf numFmtId="0" fontId="11" fillId="5" borderId="21" xfId="3" applyFont="1" applyFill="1" applyBorder="1" applyAlignment="1">
      <alignment horizontal="left" vertical="center"/>
    </xf>
    <xf numFmtId="0" fontId="11" fillId="5" borderId="22" xfId="3" applyFont="1" applyFill="1" applyBorder="1" applyAlignment="1">
      <alignment horizontal="left" vertical="center"/>
    </xf>
    <xf numFmtId="0" fontId="11" fillId="5" borderId="2" xfId="3" applyFont="1" applyFill="1" applyBorder="1" applyAlignment="1">
      <alignment horizontal="left" vertical="center"/>
    </xf>
    <xf numFmtId="0" fontId="11" fillId="5" borderId="18" xfId="3" applyFont="1" applyFill="1" applyBorder="1" applyAlignment="1">
      <alignment horizontal="left" vertical="center"/>
    </xf>
    <xf numFmtId="0" fontId="19" fillId="6" borderId="0" xfId="3" applyFont="1" applyFill="1" applyBorder="1" applyAlignment="1">
      <alignment horizontal="center" vertical="center"/>
    </xf>
    <xf numFmtId="0" fontId="19" fillId="6" borderId="6" xfId="3" applyFont="1" applyFill="1" applyBorder="1" applyAlignment="1">
      <alignment horizontal="center" vertical="center"/>
    </xf>
    <xf numFmtId="0" fontId="19" fillId="6" borderId="11" xfId="3" applyFont="1" applyFill="1" applyBorder="1" applyAlignment="1">
      <alignment horizontal="center" vertical="center"/>
    </xf>
    <xf numFmtId="0" fontId="19" fillId="6" borderId="14" xfId="3" applyFont="1" applyFill="1" applyBorder="1" applyAlignment="1">
      <alignment horizontal="center" vertical="center"/>
    </xf>
    <xf numFmtId="0" fontId="4" fillId="12" borderId="1" xfId="2" applyFill="1" applyBorder="1" applyAlignment="1">
      <alignment horizontal="center" vertical="center"/>
    </xf>
    <xf numFmtId="0" fontId="9" fillId="0" borderId="11" xfId="0" applyFont="1" applyBorder="1" applyAlignment="1">
      <alignment horizontal="center"/>
    </xf>
  </cellXfs>
  <cellStyles count="7">
    <cellStyle name="Comma 2" xfId="5"/>
    <cellStyle name="Currency" xfId="6" builtinId="4"/>
    <cellStyle name="Heading 1" xfId="2" builtinId="16"/>
    <cellStyle name="Normal" xfId="0" builtinId="0"/>
    <cellStyle name="Normal 2" xfId="3"/>
    <cellStyle name="Percent" xfId="1" builtinId="5"/>
    <cellStyle name="Percent 2" xfId="4"/>
  </cellStyles>
  <dxfs count="0"/>
  <tableStyles count="0" defaultTableStyle="TableStyleMedium2" defaultPivotStyle="PivotStyleLight16"/>
  <colors>
    <mruColors>
      <color rgb="FFFFFF00"/>
      <color rgb="FFC7F1C7"/>
      <color rgb="FFFFB7B7"/>
      <color rgb="FFFFFF99"/>
      <color rgb="FFD9E1F2"/>
      <color rgb="FFA6E8A6"/>
      <color rgb="FF7CDE7C"/>
      <color rgb="FF66FF66"/>
      <color rgb="FFFFFF5D"/>
      <color rgb="FFB2FAB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Nominal Baseline Costs</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5505336832895888"/>
          <c:y val="0.17171296296296296"/>
          <c:w val="0.81439107611548556"/>
          <c:h val="0.64123468941382322"/>
        </c:manualLayout>
      </c:layout>
      <c:barChart>
        <c:barDir val="col"/>
        <c:grouping val="clustered"/>
        <c:varyColors val="0"/>
        <c:ser>
          <c:idx val="0"/>
          <c:order val="0"/>
          <c:spPr>
            <a:solidFill>
              <a:schemeClr val="accent1"/>
            </a:solidFill>
            <a:ln>
              <a:noFill/>
            </a:ln>
            <a:effectLst/>
          </c:spPr>
          <c:invertIfNegative val="0"/>
          <c:cat>
            <c:numRef>
              <c:f>Baseline_DCF!$A$49:$A$89</c:f>
              <c:numCache>
                <c:formatCode>General</c:formatCode>
                <c:ptCount val="4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numCache>
            </c:numRef>
          </c:cat>
          <c:val>
            <c:numRef>
              <c:f>Baseline_DCF!$W$49:$W$79</c:f>
              <c:numCache>
                <c:formatCode>"$"#,##0.00</c:formatCode>
                <c:ptCount val="31"/>
                <c:pt idx="0">
                  <c:v>0</c:v>
                </c:pt>
                <c:pt idx="1">
                  <c:v>1921874.9999999998</c:v>
                </c:pt>
                <c:pt idx="2">
                  <c:v>1969921.8749999998</c:v>
                </c:pt>
                <c:pt idx="3">
                  <c:v>2019169.9218749998</c:v>
                </c:pt>
                <c:pt idx="4">
                  <c:v>2069649.1699218745</c:v>
                </c:pt>
                <c:pt idx="5">
                  <c:v>2121390.3991699214</c:v>
                </c:pt>
                <c:pt idx="6">
                  <c:v>2174425.159149169</c:v>
                </c:pt>
                <c:pt idx="7">
                  <c:v>2228785.7881278982</c:v>
                </c:pt>
                <c:pt idx="8">
                  <c:v>2284505.4328310955</c:v>
                </c:pt>
                <c:pt idx="9">
                  <c:v>2341618.0686518727</c:v>
                </c:pt>
                <c:pt idx="10">
                  <c:v>2400158.5203681695</c:v>
                </c:pt>
                <c:pt idx="11">
                  <c:v>2460162.4833773738</c:v>
                </c:pt>
                <c:pt idx="12">
                  <c:v>2521666.5454618079</c:v>
                </c:pt>
                <c:pt idx="13">
                  <c:v>2584708.2090983531</c:v>
                </c:pt>
                <c:pt idx="14">
                  <c:v>2649325.9143258114</c:v>
                </c:pt>
                <c:pt idx="15">
                  <c:v>2715559.0621839571</c:v>
                </c:pt>
                <c:pt idx="16">
                  <c:v>2783448.0387385557</c:v>
                </c:pt>
                <c:pt idx="17">
                  <c:v>2853034.2397070192</c:v>
                </c:pt>
                <c:pt idx="18">
                  <c:v>2924360.0956996949</c:v>
                </c:pt>
                <c:pt idx="19">
                  <c:v>2997469.0980921872</c:v>
                </c:pt>
                <c:pt idx="20">
                  <c:v>3072405.8255444919</c:v>
                </c:pt>
                <c:pt idx="21">
                  <c:v>0</c:v>
                </c:pt>
                <c:pt idx="22">
                  <c:v>0</c:v>
                </c:pt>
                <c:pt idx="23">
                  <c:v>0</c:v>
                </c:pt>
                <c:pt idx="24">
                  <c:v>0</c:v>
                </c:pt>
                <c:pt idx="25">
                  <c:v>0</c:v>
                </c:pt>
                <c:pt idx="26">
                  <c:v>0</c:v>
                </c:pt>
                <c:pt idx="27">
                  <c:v>0</c:v>
                </c:pt>
                <c:pt idx="28">
                  <c:v>0</c:v>
                </c:pt>
                <c:pt idx="29">
                  <c:v>0</c:v>
                </c:pt>
                <c:pt idx="30">
                  <c:v>0</c:v>
                </c:pt>
              </c:numCache>
            </c:numRef>
          </c:val>
        </c:ser>
        <c:dLbls>
          <c:showLegendKey val="0"/>
          <c:showVal val="0"/>
          <c:showCatName val="0"/>
          <c:showSerName val="0"/>
          <c:showPercent val="0"/>
          <c:showBubbleSize val="0"/>
        </c:dLbls>
        <c:gapWidth val="219"/>
        <c:overlap val="-27"/>
        <c:axId val="298340528"/>
        <c:axId val="324789008"/>
      </c:barChart>
      <c:catAx>
        <c:axId val="29834052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Year</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4789008"/>
        <c:crosses val="autoZero"/>
        <c:auto val="1"/>
        <c:lblAlgn val="ctr"/>
        <c:lblOffset val="100"/>
        <c:tickLblSkip val="5"/>
        <c:noMultiLvlLbl val="0"/>
      </c:catAx>
      <c:valAx>
        <c:axId val="324789008"/>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983405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Nominal Biomass + Backup Costs</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5505336832895888"/>
          <c:y val="0.17171296296296296"/>
          <c:w val="0.8135807086614173"/>
          <c:h val="0.64181284631087787"/>
        </c:manualLayout>
      </c:layout>
      <c:barChart>
        <c:barDir val="col"/>
        <c:grouping val="stacked"/>
        <c:varyColors val="0"/>
        <c:ser>
          <c:idx val="0"/>
          <c:order val="0"/>
          <c:tx>
            <c:v>Biomass</c:v>
          </c:tx>
          <c:spPr>
            <a:solidFill>
              <a:schemeClr val="accent1"/>
            </a:solidFill>
            <a:ln>
              <a:noFill/>
            </a:ln>
            <a:effectLst/>
          </c:spPr>
          <c:invertIfNegative val="0"/>
          <c:cat>
            <c:numRef>
              <c:f>Baseline_DCF!$A$49:$A$89</c:f>
              <c:numCache>
                <c:formatCode>General</c:formatCode>
                <c:ptCount val="4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numCache>
            </c:numRef>
          </c:cat>
          <c:val>
            <c:numRef>
              <c:f>Biomass_DCF!$AB$49:$AB$79</c:f>
              <c:numCache>
                <c:formatCode>"$"#,##0</c:formatCode>
                <c:ptCount val="31"/>
                <c:pt idx="0">
                  <c:v>3275920.5598016409</c:v>
                </c:pt>
                <c:pt idx="1">
                  <c:v>1364242.9660833399</c:v>
                </c:pt>
                <c:pt idx="2">
                  <c:v>1380451.9580505858</c:v>
                </c:pt>
                <c:pt idx="3">
                  <c:v>1397066.1748170129</c:v>
                </c:pt>
                <c:pt idx="4">
                  <c:v>1414095.7470026002</c:v>
                </c:pt>
                <c:pt idx="5">
                  <c:v>1431551.0584928277</c:v>
                </c:pt>
                <c:pt idx="6">
                  <c:v>1449442.7527703107</c:v>
                </c:pt>
                <c:pt idx="7">
                  <c:v>1467781.7394047307</c:v>
                </c:pt>
                <c:pt idx="8">
                  <c:v>1486579.2007050114</c:v>
                </c:pt>
                <c:pt idx="9">
                  <c:v>1505846.598537799</c:v>
                </c:pt>
                <c:pt idx="10">
                  <c:v>1525595.6813164062</c:v>
                </c:pt>
                <c:pt idx="11">
                  <c:v>829955.20377097279</c:v>
                </c:pt>
                <c:pt idx="12">
                  <c:v>850704.08386524708</c:v>
                </c:pt>
                <c:pt idx="13">
                  <c:v>871971.68596187816</c:v>
                </c:pt>
                <c:pt idx="14">
                  <c:v>893770.97811092506</c:v>
                </c:pt>
                <c:pt idx="15">
                  <c:v>916115.25256369822</c:v>
                </c:pt>
                <c:pt idx="16">
                  <c:v>939018.13387779065</c:v>
                </c:pt>
                <c:pt idx="17">
                  <c:v>962493.5872247353</c:v>
                </c:pt>
                <c:pt idx="18">
                  <c:v>986555.92690535379</c:v>
                </c:pt>
                <c:pt idx="19">
                  <c:v>1011219.8250779875</c:v>
                </c:pt>
                <c:pt idx="20">
                  <c:v>627010.2507297321</c:v>
                </c:pt>
                <c:pt idx="21">
                  <c:v>0</c:v>
                </c:pt>
                <c:pt idx="22">
                  <c:v>0</c:v>
                </c:pt>
                <c:pt idx="23">
                  <c:v>0</c:v>
                </c:pt>
                <c:pt idx="24">
                  <c:v>0</c:v>
                </c:pt>
                <c:pt idx="25">
                  <c:v>0</c:v>
                </c:pt>
                <c:pt idx="26">
                  <c:v>0</c:v>
                </c:pt>
                <c:pt idx="27">
                  <c:v>0</c:v>
                </c:pt>
                <c:pt idx="28">
                  <c:v>0</c:v>
                </c:pt>
                <c:pt idx="29">
                  <c:v>0</c:v>
                </c:pt>
                <c:pt idx="30">
                  <c:v>0</c:v>
                </c:pt>
              </c:numCache>
            </c:numRef>
          </c:val>
        </c:ser>
        <c:ser>
          <c:idx val="1"/>
          <c:order val="1"/>
          <c:tx>
            <c:v>Backup</c:v>
          </c:tx>
          <c:spPr>
            <a:solidFill>
              <a:schemeClr val="accent2"/>
            </a:solidFill>
            <a:ln>
              <a:noFill/>
            </a:ln>
            <a:effectLst/>
          </c:spPr>
          <c:invertIfNegative val="0"/>
          <c:val>
            <c:numRef>
              <c:f>Biomass_DCF!$AC$49:$AC$79</c:f>
              <c:numCache>
                <c:formatCode>"$"#,##0</c:formatCode>
                <c:ptCount val="31"/>
                <c:pt idx="0">
                  <c:v>485746</c:v>
                </c:pt>
                <c:pt idx="1">
                  <c:v>1091981.5172552937</c:v>
                </c:pt>
                <c:pt idx="2">
                  <c:v>1116627.3168177938</c:v>
                </c:pt>
                <c:pt idx="3">
                  <c:v>1141889.2613693562</c:v>
                </c:pt>
                <c:pt idx="4">
                  <c:v>1167782.7545347076</c:v>
                </c:pt>
                <c:pt idx="5">
                  <c:v>1194323.585029193</c:v>
                </c:pt>
                <c:pt idx="6">
                  <c:v>1221527.9362860403</c:v>
                </c:pt>
                <c:pt idx="7">
                  <c:v>1249412.3963243091</c:v>
                </c:pt>
                <c:pt idx="8">
                  <c:v>1277993.9678635341</c:v>
                </c:pt>
                <c:pt idx="9">
                  <c:v>1307290.0786912402</c:v>
                </c:pt>
                <c:pt idx="10">
                  <c:v>1337318.5922896387</c:v>
                </c:pt>
                <c:pt idx="11">
                  <c:v>1261948.2839727036</c:v>
                </c:pt>
                <c:pt idx="12">
                  <c:v>1293496.991072021</c:v>
                </c:pt>
                <c:pt idx="13">
                  <c:v>1325834.4158488216</c:v>
                </c:pt>
                <c:pt idx="14">
                  <c:v>1358980.2762450418</c:v>
                </c:pt>
                <c:pt idx="15">
                  <c:v>1392954.7831511681</c:v>
                </c:pt>
                <c:pt idx="16">
                  <c:v>1427778.6527299471</c:v>
                </c:pt>
                <c:pt idx="17">
                  <c:v>1463473.1190481957</c:v>
                </c:pt>
                <c:pt idx="18">
                  <c:v>1500059.9470244006</c:v>
                </c:pt>
                <c:pt idx="19">
                  <c:v>1537561.4457000105</c:v>
                </c:pt>
                <c:pt idx="20">
                  <c:v>1515282.2318425109</c:v>
                </c:pt>
                <c:pt idx="21">
                  <c:v>0</c:v>
                </c:pt>
                <c:pt idx="22">
                  <c:v>0</c:v>
                </c:pt>
                <c:pt idx="23">
                  <c:v>0</c:v>
                </c:pt>
                <c:pt idx="24">
                  <c:v>0</c:v>
                </c:pt>
                <c:pt idx="25">
                  <c:v>0</c:v>
                </c:pt>
                <c:pt idx="26">
                  <c:v>0</c:v>
                </c:pt>
                <c:pt idx="27">
                  <c:v>0</c:v>
                </c:pt>
                <c:pt idx="28">
                  <c:v>0</c:v>
                </c:pt>
                <c:pt idx="29">
                  <c:v>0</c:v>
                </c:pt>
                <c:pt idx="30">
                  <c:v>0</c:v>
                </c:pt>
              </c:numCache>
            </c:numRef>
          </c:val>
        </c:ser>
        <c:dLbls>
          <c:showLegendKey val="0"/>
          <c:showVal val="0"/>
          <c:showCatName val="0"/>
          <c:showSerName val="0"/>
          <c:showPercent val="0"/>
          <c:showBubbleSize val="0"/>
        </c:dLbls>
        <c:gapWidth val="219"/>
        <c:overlap val="100"/>
        <c:axId val="324787048"/>
        <c:axId val="324788616"/>
      </c:barChart>
      <c:catAx>
        <c:axId val="32478704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Year</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4788616"/>
        <c:crosses val="autoZero"/>
        <c:auto val="1"/>
        <c:lblAlgn val="ctr"/>
        <c:lblOffset val="100"/>
        <c:tickLblSkip val="5"/>
        <c:noMultiLvlLbl val="0"/>
      </c:catAx>
      <c:valAx>
        <c:axId val="324788616"/>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4787048"/>
        <c:crosses val="autoZero"/>
        <c:crossBetween val="between"/>
      </c:valAx>
      <c:spPr>
        <a:noFill/>
        <a:ln>
          <a:noFill/>
        </a:ln>
        <a:effectLst/>
      </c:spPr>
    </c:plotArea>
    <c:legend>
      <c:legendPos val="b"/>
      <c:layout>
        <c:manualLayout>
          <c:xMode val="edge"/>
          <c:yMode val="edge"/>
          <c:x val="0.78070297462817162"/>
          <c:y val="0.17187445319335085"/>
          <c:w val="0.17192738407699037"/>
          <c:h val="0.1614588801399825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Nominal Solar + Backup Costs</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5505336832895888"/>
          <c:y val="0.17171296296296296"/>
          <c:w val="0.8135807086614173"/>
          <c:h val="0.65570173519976682"/>
        </c:manualLayout>
      </c:layout>
      <c:barChart>
        <c:barDir val="col"/>
        <c:grouping val="stacked"/>
        <c:varyColors val="0"/>
        <c:ser>
          <c:idx val="0"/>
          <c:order val="0"/>
          <c:tx>
            <c:v>Solar</c:v>
          </c:tx>
          <c:spPr>
            <a:solidFill>
              <a:schemeClr val="accent1"/>
            </a:solidFill>
            <a:ln>
              <a:noFill/>
            </a:ln>
            <a:effectLst/>
          </c:spPr>
          <c:invertIfNegative val="0"/>
          <c:cat>
            <c:numRef>
              <c:f>Baseline_DCF!$A$49:$A$89</c:f>
              <c:numCache>
                <c:formatCode>General</c:formatCode>
                <c:ptCount val="4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numCache>
            </c:numRef>
          </c:cat>
          <c:val>
            <c:numRef>
              <c:f>Solar_DCF!$AB$49:$AB$79</c:f>
              <c:numCache>
                <c:formatCode>"$"#,##0</c:formatCode>
                <c:ptCount val="31"/>
                <c:pt idx="0">
                  <c:v>1496350.9586948855</c:v>
                </c:pt>
                <c:pt idx="1">
                  <c:v>403683.90239176044</c:v>
                </c:pt>
                <c:pt idx="2">
                  <c:v>405601.10205758823</c:v>
                </c:pt>
                <c:pt idx="3">
                  <c:v>407566.23171506176</c:v>
                </c:pt>
                <c:pt idx="4">
                  <c:v>409580.48961397214</c:v>
                </c:pt>
                <c:pt idx="5">
                  <c:v>411645.10396035522</c:v>
                </c:pt>
                <c:pt idx="6">
                  <c:v>413761.33366539789</c:v>
                </c:pt>
                <c:pt idx="7">
                  <c:v>415930.46911306668</c:v>
                </c:pt>
                <c:pt idx="8">
                  <c:v>418153.83294692711</c:v>
                </c:pt>
                <c:pt idx="9">
                  <c:v>420432.78087663412</c:v>
                </c:pt>
                <c:pt idx="10">
                  <c:v>422768.70250458375</c:v>
                </c:pt>
                <c:pt idx="11">
                  <c:v>98167.106414584632</c:v>
                </c:pt>
                <c:pt idx="12">
                  <c:v>100621.28407494923</c:v>
                </c:pt>
                <c:pt idx="13">
                  <c:v>103136.81617682296</c:v>
                </c:pt>
                <c:pt idx="14">
                  <c:v>105715.23658124352</c:v>
                </c:pt>
                <c:pt idx="15">
                  <c:v>108358.11749577463</c:v>
                </c:pt>
                <c:pt idx="16">
                  <c:v>111067.07043316898</c:v>
                </c:pt>
                <c:pt idx="17">
                  <c:v>113843.74719399819</c:v>
                </c:pt>
                <c:pt idx="18">
                  <c:v>116689.84087384815</c:v>
                </c:pt>
                <c:pt idx="19">
                  <c:v>119607.08689569436</c:v>
                </c:pt>
                <c:pt idx="20">
                  <c:v>-64446.605768773981</c:v>
                </c:pt>
                <c:pt idx="21">
                  <c:v>0</c:v>
                </c:pt>
                <c:pt idx="22">
                  <c:v>0</c:v>
                </c:pt>
                <c:pt idx="23">
                  <c:v>0</c:v>
                </c:pt>
                <c:pt idx="24">
                  <c:v>0</c:v>
                </c:pt>
                <c:pt idx="25">
                  <c:v>0</c:v>
                </c:pt>
                <c:pt idx="26">
                  <c:v>0</c:v>
                </c:pt>
                <c:pt idx="27">
                  <c:v>0</c:v>
                </c:pt>
                <c:pt idx="28">
                  <c:v>0</c:v>
                </c:pt>
                <c:pt idx="29">
                  <c:v>0</c:v>
                </c:pt>
                <c:pt idx="30">
                  <c:v>0</c:v>
                </c:pt>
              </c:numCache>
            </c:numRef>
          </c:val>
        </c:ser>
        <c:ser>
          <c:idx val="1"/>
          <c:order val="1"/>
          <c:tx>
            <c:v>Backup</c:v>
          </c:tx>
          <c:spPr>
            <a:solidFill>
              <a:schemeClr val="accent2"/>
            </a:solidFill>
            <a:ln>
              <a:noFill/>
            </a:ln>
            <a:effectLst/>
          </c:spPr>
          <c:invertIfNegative val="0"/>
          <c:val>
            <c:numRef>
              <c:f>Solar_DCF!$AC$49:$AC$79</c:f>
              <c:numCache>
                <c:formatCode>"$"#,##0</c:formatCode>
                <c:ptCount val="31"/>
                <c:pt idx="0">
                  <c:v>485746.05891047104</c:v>
                </c:pt>
                <c:pt idx="1">
                  <c:v>1091981.5331480952</c:v>
                </c:pt>
                <c:pt idx="2">
                  <c:v>1116627.3327860744</c:v>
                </c:pt>
                <c:pt idx="3">
                  <c:v>1141889.2774150029</c:v>
                </c:pt>
                <c:pt idx="4">
                  <c:v>1167782.7706596544</c:v>
                </c:pt>
                <c:pt idx="5">
                  <c:v>1194323.6012354225</c:v>
                </c:pt>
                <c:pt idx="6">
                  <c:v>1221527.9525755844</c:v>
                </c:pt>
                <c:pt idx="7">
                  <c:v>1249412.4126992507</c:v>
                </c:pt>
                <c:pt idx="8">
                  <c:v>1277993.9843260085</c:v>
                </c:pt>
                <c:pt idx="9">
                  <c:v>1307290.0952434354</c:v>
                </c:pt>
                <c:pt idx="10">
                  <c:v>1337318.6089337978</c:v>
                </c:pt>
                <c:pt idx="11">
                  <c:v>1261948.2878374858</c:v>
                </c:pt>
                <c:pt idx="12">
                  <c:v>1293496.9950334227</c:v>
                </c:pt>
                <c:pt idx="13">
                  <c:v>1325834.4199092584</c:v>
                </c:pt>
                <c:pt idx="14">
                  <c:v>1358980.2804069896</c:v>
                </c:pt>
                <c:pt idx="15">
                  <c:v>1392954.7874171645</c:v>
                </c:pt>
                <c:pt idx="16">
                  <c:v>1427778.6571025935</c:v>
                </c:pt>
                <c:pt idx="17">
                  <c:v>1463473.1235301581</c:v>
                </c:pt>
                <c:pt idx="18">
                  <c:v>1500059.951618412</c:v>
                </c:pt>
                <c:pt idx="19">
                  <c:v>1537561.4504088724</c:v>
                </c:pt>
                <c:pt idx="20">
                  <c:v>1515282.2293052853</c:v>
                </c:pt>
                <c:pt idx="21">
                  <c:v>0</c:v>
                </c:pt>
                <c:pt idx="22">
                  <c:v>0</c:v>
                </c:pt>
                <c:pt idx="23">
                  <c:v>0</c:v>
                </c:pt>
                <c:pt idx="24">
                  <c:v>0</c:v>
                </c:pt>
                <c:pt idx="25">
                  <c:v>0</c:v>
                </c:pt>
                <c:pt idx="26">
                  <c:v>0</c:v>
                </c:pt>
                <c:pt idx="27">
                  <c:v>0</c:v>
                </c:pt>
                <c:pt idx="28">
                  <c:v>0</c:v>
                </c:pt>
                <c:pt idx="29">
                  <c:v>0</c:v>
                </c:pt>
                <c:pt idx="30">
                  <c:v>0</c:v>
                </c:pt>
              </c:numCache>
            </c:numRef>
          </c:val>
        </c:ser>
        <c:dLbls>
          <c:showLegendKey val="0"/>
          <c:showVal val="0"/>
          <c:showCatName val="0"/>
          <c:showSerName val="0"/>
          <c:showPercent val="0"/>
          <c:showBubbleSize val="0"/>
        </c:dLbls>
        <c:gapWidth val="219"/>
        <c:overlap val="100"/>
        <c:axId val="324786264"/>
        <c:axId val="324783520"/>
      </c:barChart>
      <c:catAx>
        <c:axId val="32478626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Year</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4783520"/>
        <c:crosses val="autoZero"/>
        <c:auto val="1"/>
        <c:lblAlgn val="ctr"/>
        <c:lblOffset val="100"/>
        <c:tickLblSkip val="5"/>
        <c:noMultiLvlLbl val="0"/>
      </c:catAx>
      <c:valAx>
        <c:axId val="324783520"/>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4786264"/>
        <c:crosses val="autoZero"/>
        <c:crossBetween val="between"/>
      </c:valAx>
      <c:spPr>
        <a:noFill/>
        <a:ln>
          <a:noFill/>
        </a:ln>
        <a:effectLst/>
      </c:spPr>
    </c:plotArea>
    <c:legend>
      <c:legendPos val="b"/>
      <c:layout>
        <c:manualLayout>
          <c:xMode val="edge"/>
          <c:yMode val="edge"/>
          <c:x val="0.78070297462817162"/>
          <c:y val="0.17187445319335085"/>
          <c:w val="0.17192738407699037"/>
          <c:h val="0.1614588801399825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Nominal Geothermal Costs</a:t>
            </a:r>
          </a:p>
        </c:rich>
      </c:tx>
      <c:layout>
        <c:manualLayout>
          <c:xMode val="edge"/>
          <c:yMode val="edge"/>
          <c:x val="0.18694386720510928"/>
          <c:y val="3.5971223021582732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5505336832895888"/>
          <c:y val="0.17171296296296296"/>
          <c:w val="0.81439107611548556"/>
          <c:h val="0.64123468941382322"/>
        </c:manualLayout>
      </c:layout>
      <c:barChart>
        <c:barDir val="col"/>
        <c:grouping val="clustered"/>
        <c:varyColors val="0"/>
        <c:ser>
          <c:idx val="0"/>
          <c:order val="0"/>
          <c:spPr>
            <a:solidFill>
              <a:schemeClr val="accent1"/>
            </a:solidFill>
            <a:ln>
              <a:noFill/>
            </a:ln>
            <a:effectLst/>
          </c:spPr>
          <c:invertIfNegative val="0"/>
          <c:cat>
            <c:numRef>
              <c:f>Baseline_DCF!$A$49:$A$89</c:f>
              <c:numCache>
                <c:formatCode>General</c:formatCode>
                <c:ptCount val="4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numCache>
            </c:numRef>
          </c:cat>
          <c:val>
            <c:numRef>
              <c:f>Geo_DCF!$Z$49:$Z$79</c:f>
              <c:numCache>
                <c:formatCode>"$"#,##0.00</c:formatCode>
                <c:ptCount val="31"/>
                <c:pt idx="0">
                  <c:v>2176000</c:v>
                </c:pt>
                <c:pt idx="1">
                  <c:v>658375.95663083368</c:v>
                </c:pt>
                <c:pt idx="2">
                  <c:v>662947.38386863284</c:v>
                </c:pt>
                <c:pt idx="3">
                  <c:v>667633.09678737726</c:v>
                </c:pt>
                <c:pt idx="4">
                  <c:v>672435.95252908999</c:v>
                </c:pt>
                <c:pt idx="5">
                  <c:v>677358.87966434576</c:v>
                </c:pt>
                <c:pt idx="6">
                  <c:v>682404.87997798272</c:v>
                </c:pt>
                <c:pt idx="7">
                  <c:v>687577.03029946075</c:v>
                </c:pt>
                <c:pt idx="8">
                  <c:v>692878.48437897558</c:v>
                </c:pt>
                <c:pt idx="9">
                  <c:v>698312.47481047839</c:v>
                </c:pt>
                <c:pt idx="10">
                  <c:v>703882.31500276877</c:v>
                </c:pt>
                <c:pt idx="11">
                  <c:v>234072.53408100305</c:v>
                </c:pt>
                <c:pt idx="12">
                  <c:v>239924.3474330281</c:v>
                </c:pt>
                <c:pt idx="13">
                  <c:v>245922.45611885382</c:v>
                </c:pt>
                <c:pt idx="14">
                  <c:v>252070.51752182512</c:v>
                </c:pt>
                <c:pt idx="15">
                  <c:v>258372.28045987082</c:v>
                </c:pt>
                <c:pt idx="16">
                  <c:v>264831.58747136756</c:v>
                </c:pt>
                <c:pt idx="17">
                  <c:v>271452.37715815171</c:v>
                </c:pt>
                <c:pt idx="18">
                  <c:v>278238.68658710551</c:v>
                </c:pt>
                <c:pt idx="19">
                  <c:v>285194.65375178313</c:v>
                </c:pt>
                <c:pt idx="20">
                  <c:v>20324.520095577696</c:v>
                </c:pt>
                <c:pt idx="21">
                  <c:v>0</c:v>
                </c:pt>
                <c:pt idx="22">
                  <c:v>0</c:v>
                </c:pt>
                <c:pt idx="23">
                  <c:v>0</c:v>
                </c:pt>
                <c:pt idx="24">
                  <c:v>0</c:v>
                </c:pt>
                <c:pt idx="25">
                  <c:v>0</c:v>
                </c:pt>
                <c:pt idx="26">
                  <c:v>0</c:v>
                </c:pt>
                <c:pt idx="27">
                  <c:v>0</c:v>
                </c:pt>
                <c:pt idx="28">
                  <c:v>0</c:v>
                </c:pt>
                <c:pt idx="29">
                  <c:v>0</c:v>
                </c:pt>
                <c:pt idx="30">
                  <c:v>0</c:v>
                </c:pt>
              </c:numCache>
            </c:numRef>
          </c:val>
        </c:ser>
        <c:dLbls>
          <c:showLegendKey val="0"/>
          <c:showVal val="0"/>
          <c:showCatName val="0"/>
          <c:showSerName val="0"/>
          <c:showPercent val="0"/>
          <c:showBubbleSize val="0"/>
        </c:dLbls>
        <c:gapWidth val="219"/>
        <c:overlap val="-27"/>
        <c:axId val="324785480"/>
        <c:axId val="324786656"/>
      </c:barChart>
      <c:catAx>
        <c:axId val="32478548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Year</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4786656"/>
        <c:crosses val="autoZero"/>
        <c:auto val="1"/>
        <c:lblAlgn val="ctr"/>
        <c:lblOffset val="100"/>
        <c:tickLblSkip val="5"/>
        <c:noMultiLvlLbl val="0"/>
      </c:catAx>
      <c:valAx>
        <c:axId val="324786656"/>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478548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Nominal Heat Pump Costs</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5505336832895888"/>
          <c:y val="0.17171296296296296"/>
          <c:w val="0.81439107611548556"/>
          <c:h val="0.64123468941382322"/>
        </c:manualLayout>
      </c:layout>
      <c:barChart>
        <c:barDir val="col"/>
        <c:grouping val="clustered"/>
        <c:varyColors val="0"/>
        <c:ser>
          <c:idx val="0"/>
          <c:order val="0"/>
          <c:spPr>
            <a:solidFill>
              <a:schemeClr val="accent1"/>
            </a:solidFill>
            <a:ln>
              <a:noFill/>
            </a:ln>
            <a:effectLst/>
          </c:spPr>
          <c:invertIfNegative val="0"/>
          <c:cat>
            <c:numRef>
              <c:f>Baseline_DCF!$A$49:$A$89</c:f>
              <c:numCache>
                <c:formatCode>General</c:formatCode>
                <c:ptCount val="4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numCache>
            </c:numRef>
          </c:cat>
          <c:val>
            <c:numRef>
              <c:f>HeatPump_DCF!$Z$49:$Z$79</c:f>
              <c:numCache>
                <c:formatCode>"$"#,##0.00</c:formatCode>
                <c:ptCount val="31"/>
                <c:pt idx="0">
                  <c:v>445624.11966375576</c:v>
                </c:pt>
                <c:pt idx="1">
                  <c:v>1035848.191149598</c:v>
                </c:pt>
                <c:pt idx="2">
                  <c:v>1059309.852309963</c:v>
                </c:pt>
                <c:pt idx="3">
                  <c:v>1083358.0549993371</c:v>
                </c:pt>
                <c:pt idx="4">
                  <c:v>1108007.4627559455</c:v>
                </c:pt>
                <c:pt idx="5">
                  <c:v>1133273.1057064692</c:v>
                </c:pt>
                <c:pt idx="6">
                  <c:v>1159170.3897307559</c:v>
                </c:pt>
                <c:pt idx="7">
                  <c:v>1185715.10585565</c:v>
                </c:pt>
                <c:pt idx="8">
                  <c:v>1212923.4398836661</c:v>
                </c:pt>
                <c:pt idx="9">
                  <c:v>1240811.9822623827</c:v>
                </c:pt>
                <c:pt idx="10">
                  <c:v>1269397.7382005677</c:v>
                </c:pt>
                <c:pt idx="11">
                  <c:v>1201316.3933022115</c:v>
                </c:pt>
                <c:pt idx="12">
                  <c:v>1231349.3031347666</c:v>
                </c:pt>
                <c:pt idx="13">
                  <c:v>1262133.0357131357</c:v>
                </c:pt>
                <c:pt idx="14">
                  <c:v>1293686.3616059641</c:v>
                </c:pt>
                <c:pt idx="15">
                  <c:v>1326028.5206461134</c:v>
                </c:pt>
                <c:pt idx="16">
                  <c:v>1359179.2336622661</c:v>
                </c:pt>
                <c:pt idx="17">
                  <c:v>1393158.7145038226</c:v>
                </c:pt>
                <c:pt idx="18">
                  <c:v>1427987.6823664182</c:v>
                </c:pt>
                <c:pt idx="19">
                  <c:v>1463687.3744255786</c:v>
                </c:pt>
                <c:pt idx="20">
                  <c:v>1444576.5438282483</c:v>
                </c:pt>
                <c:pt idx="21">
                  <c:v>0</c:v>
                </c:pt>
                <c:pt idx="22">
                  <c:v>0</c:v>
                </c:pt>
                <c:pt idx="23">
                  <c:v>0</c:v>
                </c:pt>
                <c:pt idx="24">
                  <c:v>0</c:v>
                </c:pt>
                <c:pt idx="25">
                  <c:v>0</c:v>
                </c:pt>
                <c:pt idx="26">
                  <c:v>0</c:v>
                </c:pt>
                <c:pt idx="27">
                  <c:v>0</c:v>
                </c:pt>
                <c:pt idx="28">
                  <c:v>0</c:v>
                </c:pt>
                <c:pt idx="29">
                  <c:v>0</c:v>
                </c:pt>
                <c:pt idx="30">
                  <c:v>0</c:v>
                </c:pt>
              </c:numCache>
            </c:numRef>
          </c:val>
        </c:ser>
        <c:dLbls>
          <c:showLegendKey val="0"/>
          <c:showVal val="0"/>
          <c:showCatName val="0"/>
          <c:showSerName val="0"/>
          <c:showPercent val="0"/>
          <c:showBubbleSize val="0"/>
        </c:dLbls>
        <c:gapWidth val="219"/>
        <c:overlap val="-27"/>
        <c:axId val="324784304"/>
        <c:axId val="324785872"/>
      </c:barChart>
      <c:catAx>
        <c:axId val="324784304"/>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Year</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4785872"/>
        <c:crosses val="autoZero"/>
        <c:auto val="1"/>
        <c:lblAlgn val="ctr"/>
        <c:lblOffset val="100"/>
        <c:tickLblSkip val="5"/>
        <c:noMultiLvlLbl val="0"/>
      </c:catAx>
      <c:valAx>
        <c:axId val="324785872"/>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478430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Nominal Other + Backup Costs</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5505336832895888"/>
          <c:y val="0.17171296296296296"/>
          <c:w val="0.8135807086614173"/>
          <c:h val="0.65570173519976682"/>
        </c:manualLayout>
      </c:layout>
      <c:barChart>
        <c:barDir val="col"/>
        <c:grouping val="stacked"/>
        <c:varyColors val="0"/>
        <c:ser>
          <c:idx val="0"/>
          <c:order val="0"/>
          <c:tx>
            <c:v>Other</c:v>
          </c:tx>
          <c:spPr>
            <a:solidFill>
              <a:schemeClr val="accent1"/>
            </a:solidFill>
            <a:ln>
              <a:noFill/>
            </a:ln>
            <a:effectLst/>
          </c:spPr>
          <c:invertIfNegative val="0"/>
          <c:cat>
            <c:numRef>
              <c:f>Baseline_DCF!$A$49:$A$89</c:f>
              <c:numCache>
                <c:formatCode>General</c:formatCode>
                <c:ptCount val="41"/>
                <c:pt idx="0">
                  <c:v>0</c:v>
                </c:pt>
                <c:pt idx="1">
                  <c:v>1</c:v>
                </c:pt>
                <c:pt idx="2">
                  <c:v>2</c:v>
                </c:pt>
                <c:pt idx="3">
                  <c:v>3</c:v>
                </c:pt>
                <c:pt idx="4">
                  <c:v>4</c:v>
                </c:pt>
                <c:pt idx="5">
                  <c:v>5</c:v>
                </c:pt>
                <c:pt idx="6">
                  <c:v>6</c:v>
                </c:pt>
                <c:pt idx="7">
                  <c:v>7</c:v>
                </c:pt>
                <c:pt idx="8">
                  <c:v>8</c:v>
                </c:pt>
                <c:pt idx="9">
                  <c:v>9</c:v>
                </c:pt>
                <c:pt idx="10">
                  <c:v>10</c:v>
                </c:pt>
                <c:pt idx="11">
                  <c:v>11</c:v>
                </c:pt>
                <c:pt idx="12">
                  <c:v>12</c:v>
                </c:pt>
                <c:pt idx="13">
                  <c:v>13</c:v>
                </c:pt>
                <c:pt idx="14">
                  <c:v>14</c:v>
                </c:pt>
                <c:pt idx="15">
                  <c:v>15</c:v>
                </c:pt>
                <c:pt idx="16">
                  <c:v>16</c:v>
                </c:pt>
                <c:pt idx="17">
                  <c:v>17</c:v>
                </c:pt>
                <c:pt idx="18">
                  <c:v>18</c:v>
                </c:pt>
                <c:pt idx="19">
                  <c:v>19</c:v>
                </c:pt>
                <c:pt idx="20">
                  <c:v>20</c:v>
                </c:pt>
                <c:pt idx="21">
                  <c:v>21</c:v>
                </c:pt>
                <c:pt idx="22">
                  <c:v>22</c:v>
                </c:pt>
                <c:pt idx="23">
                  <c:v>23</c:v>
                </c:pt>
                <c:pt idx="24">
                  <c:v>24</c:v>
                </c:pt>
                <c:pt idx="25">
                  <c:v>25</c:v>
                </c:pt>
                <c:pt idx="26">
                  <c:v>26</c:v>
                </c:pt>
                <c:pt idx="27">
                  <c:v>27</c:v>
                </c:pt>
                <c:pt idx="28">
                  <c:v>28</c:v>
                </c:pt>
                <c:pt idx="29">
                  <c:v>29</c:v>
                </c:pt>
                <c:pt idx="30">
                  <c:v>30</c:v>
                </c:pt>
                <c:pt idx="31">
                  <c:v>31</c:v>
                </c:pt>
                <c:pt idx="32">
                  <c:v>32</c:v>
                </c:pt>
                <c:pt idx="33">
                  <c:v>33</c:v>
                </c:pt>
                <c:pt idx="34">
                  <c:v>34</c:v>
                </c:pt>
                <c:pt idx="35">
                  <c:v>35</c:v>
                </c:pt>
                <c:pt idx="36">
                  <c:v>36</c:v>
                </c:pt>
                <c:pt idx="37">
                  <c:v>37</c:v>
                </c:pt>
                <c:pt idx="38">
                  <c:v>38</c:v>
                </c:pt>
                <c:pt idx="39">
                  <c:v>39</c:v>
                </c:pt>
                <c:pt idx="40">
                  <c:v>40</c:v>
                </c:pt>
              </c:numCache>
            </c:numRef>
          </c:cat>
          <c:val>
            <c:numRef>
              <c:f>Other_DCF!$AB$49:$AB$79</c:f>
              <c:numCache>
                <c:formatCode>"$"#,##0</c:formatCode>
                <c:ptCount val="31"/>
                <c:pt idx="0">
                  <c:v>3275920.5598016409</c:v>
                </c:pt>
                <c:pt idx="1">
                  <c:v>883774.21608334</c:v>
                </c:pt>
                <c:pt idx="2">
                  <c:v>887971.48930058582</c:v>
                </c:pt>
                <c:pt idx="3">
                  <c:v>892273.69434826286</c:v>
                </c:pt>
                <c:pt idx="4">
                  <c:v>896683.45452213171</c:v>
                </c:pt>
                <c:pt idx="5">
                  <c:v>901203.45870034734</c:v>
                </c:pt>
                <c:pt idx="6">
                  <c:v>905836.46298301837</c:v>
                </c:pt>
                <c:pt idx="7">
                  <c:v>910585.29237275617</c:v>
                </c:pt>
                <c:pt idx="8">
                  <c:v>915452.84249723749</c:v>
                </c:pt>
                <c:pt idx="9">
                  <c:v>920442.08137483068</c:v>
                </c:pt>
                <c:pt idx="10">
                  <c:v>925556.05122436385</c:v>
                </c:pt>
                <c:pt idx="11">
                  <c:v>214914.58292662937</c:v>
                </c:pt>
                <c:pt idx="12">
                  <c:v>220287.44749979509</c:v>
                </c:pt>
                <c:pt idx="13">
                  <c:v>225794.63368728996</c:v>
                </c:pt>
                <c:pt idx="14">
                  <c:v>231439.49952947217</c:v>
                </c:pt>
                <c:pt idx="15">
                  <c:v>237225.48701770901</c:v>
                </c:pt>
                <c:pt idx="16">
                  <c:v>243156.12419315171</c:v>
                </c:pt>
                <c:pt idx="17">
                  <c:v>249235.02729798047</c:v>
                </c:pt>
                <c:pt idx="18">
                  <c:v>255465.90298042999</c:v>
                </c:pt>
                <c:pt idx="19">
                  <c:v>261852.55055494074</c:v>
                </c:pt>
                <c:pt idx="20">
                  <c:v>-141091.20565639087</c:v>
                </c:pt>
                <c:pt idx="21">
                  <c:v>0</c:v>
                </c:pt>
                <c:pt idx="22">
                  <c:v>0</c:v>
                </c:pt>
                <c:pt idx="23">
                  <c:v>0</c:v>
                </c:pt>
                <c:pt idx="24">
                  <c:v>0</c:v>
                </c:pt>
                <c:pt idx="25">
                  <c:v>0</c:v>
                </c:pt>
                <c:pt idx="26">
                  <c:v>0</c:v>
                </c:pt>
                <c:pt idx="27">
                  <c:v>0</c:v>
                </c:pt>
                <c:pt idx="28">
                  <c:v>0</c:v>
                </c:pt>
                <c:pt idx="29">
                  <c:v>0</c:v>
                </c:pt>
                <c:pt idx="30">
                  <c:v>0</c:v>
                </c:pt>
              </c:numCache>
            </c:numRef>
          </c:val>
        </c:ser>
        <c:ser>
          <c:idx val="1"/>
          <c:order val="1"/>
          <c:tx>
            <c:v>Backup</c:v>
          </c:tx>
          <c:spPr>
            <a:solidFill>
              <a:schemeClr val="accent2"/>
            </a:solidFill>
            <a:ln>
              <a:noFill/>
            </a:ln>
            <a:effectLst/>
          </c:spPr>
          <c:invertIfNegative val="0"/>
          <c:val>
            <c:numRef>
              <c:f>Other_DCF!$AC$49:$AC$79</c:f>
              <c:numCache>
                <c:formatCode>"$"#,##0</c:formatCode>
                <c:ptCount val="31"/>
                <c:pt idx="0">
                  <c:v>485746.05891047104</c:v>
                </c:pt>
                <c:pt idx="1">
                  <c:v>515419.03314809559</c:v>
                </c:pt>
                <c:pt idx="2">
                  <c:v>525650.77028607461</c:v>
                </c:pt>
                <c:pt idx="3">
                  <c:v>536138.30085250305</c:v>
                </c:pt>
                <c:pt idx="4">
                  <c:v>546888.01968309237</c:v>
                </c:pt>
                <c:pt idx="5">
                  <c:v>557906.48148444621</c:v>
                </c:pt>
                <c:pt idx="6">
                  <c:v>569200.40483083401</c:v>
                </c:pt>
                <c:pt idx="7">
                  <c:v>580776.67626088159</c:v>
                </c:pt>
                <c:pt idx="8">
                  <c:v>592642.35447668016</c:v>
                </c:pt>
                <c:pt idx="9">
                  <c:v>604804.67464787373</c:v>
                </c:pt>
                <c:pt idx="10">
                  <c:v>617271.05282334727</c:v>
                </c:pt>
                <c:pt idx="11">
                  <c:v>523899.54282427381</c:v>
                </c:pt>
                <c:pt idx="12">
                  <c:v>536997.03139488061</c:v>
                </c:pt>
                <c:pt idx="13">
                  <c:v>550421.95717975264</c:v>
                </c:pt>
                <c:pt idx="14">
                  <c:v>564182.50610924629</c:v>
                </c:pt>
                <c:pt idx="15">
                  <c:v>578287.0687619776</c:v>
                </c:pt>
                <c:pt idx="16">
                  <c:v>592744.24548102706</c:v>
                </c:pt>
                <c:pt idx="17">
                  <c:v>607562.85161805258</c:v>
                </c:pt>
                <c:pt idx="18">
                  <c:v>622751.92290850391</c:v>
                </c:pt>
                <c:pt idx="19">
                  <c:v>638320.72098121652</c:v>
                </c:pt>
                <c:pt idx="20">
                  <c:v>593560.48164193798</c:v>
                </c:pt>
                <c:pt idx="21">
                  <c:v>0</c:v>
                </c:pt>
                <c:pt idx="22">
                  <c:v>0</c:v>
                </c:pt>
                <c:pt idx="23">
                  <c:v>0</c:v>
                </c:pt>
                <c:pt idx="24">
                  <c:v>0</c:v>
                </c:pt>
                <c:pt idx="25">
                  <c:v>0</c:v>
                </c:pt>
                <c:pt idx="26">
                  <c:v>0</c:v>
                </c:pt>
                <c:pt idx="27">
                  <c:v>0</c:v>
                </c:pt>
                <c:pt idx="28">
                  <c:v>0</c:v>
                </c:pt>
                <c:pt idx="29">
                  <c:v>0</c:v>
                </c:pt>
                <c:pt idx="30">
                  <c:v>0</c:v>
                </c:pt>
              </c:numCache>
            </c:numRef>
          </c:val>
        </c:ser>
        <c:dLbls>
          <c:showLegendKey val="0"/>
          <c:showVal val="0"/>
          <c:showCatName val="0"/>
          <c:showSerName val="0"/>
          <c:showPercent val="0"/>
          <c:showBubbleSize val="0"/>
        </c:dLbls>
        <c:gapWidth val="219"/>
        <c:overlap val="100"/>
        <c:axId val="324784696"/>
        <c:axId val="325853576"/>
      </c:barChart>
      <c:catAx>
        <c:axId val="324784696"/>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Year</a:t>
                </a:r>
              </a:p>
            </c:rich>
          </c:tx>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5853576"/>
        <c:crosses val="autoZero"/>
        <c:auto val="1"/>
        <c:lblAlgn val="ctr"/>
        <c:lblOffset val="100"/>
        <c:tickLblSkip val="5"/>
        <c:noMultiLvlLbl val="0"/>
      </c:catAx>
      <c:valAx>
        <c:axId val="325853576"/>
        <c:scaling>
          <c:orientation val="minMax"/>
          <c:min val="0"/>
        </c:scaling>
        <c:delete val="0"/>
        <c:axPos val="l"/>
        <c:majorGridlines>
          <c:spPr>
            <a:ln w="9525" cap="flat" cmpd="sng" algn="ctr">
              <a:solidFill>
                <a:schemeClr val="tx1">
                  <a:lumMod val="15000"/>
                  <a:lumOff val="85000"/>
                </a:schemeClr>
              </a:solidFill>
              <a:round/>
            </a:ln>
            <a:effectLst/>
          </c:spPr>
        </c:majorGridlines>
        <c:numFmt formatCode="&quot;$&quot;#,##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4784696"/>
        <c:crosses val="autoZero"/>
        <c:crossBetween val="between"/>
      </c:valAx>
      <c:spPr>
        <a:noFill/>
        <a:ln>
          <a:noFill/>
        </a:ln>
        <a:effectLst/>
      </c:spPr>
    </c:plotArea>
    <c:legend>
      <c:legendPos val="b"/>
      <c:layout>
        <c:manualLayout>
          <c:xMode val="edge"/>
          <c:yMode val="edge"/>
          <c:x val="0.78070297462817162"/>
          <c:y val="0.17187445319335085"/>
          <c:w val="0.17192738407699037"/>
          <c:h val="0.1614588801399825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AU"/>
              <a:t>Solar Thermal Specific Cost v Temperature</a:t>
            </a:r>
          </a:p>
        </c:rich>
      </c:tx>
      <c:overlay val="0"/>
      <c:spPr>
        <a:noFill/>
        <a:ln>
          <a:noFill/>
        </a:ln>
        <a:effectLst/>
      </c:spPr>
    </c:title>
    <c:autoTitleDeleted val="0"/>
    <c:plotArea>
      <c:layout>
        <c:manualLayout>
          <c:layoutTarget val="inner"/>
          <c:xMode val="edge"/>
          <c:yMode val="edge"/>
          <c:x val="0.10228391890427811"/>
          <c:y val="0.14391646696336871"/>
          <c:w val="0.86922074154845164"/>
          <c:h val="0.71022904745602455"/>
        </c:manualLayout>
      </c:layout>
      <c:scatterChart>
        <c:scatterStyle val="lineMarker"/>
        <c:varyColors val="0"/>
        <c:ser>
          <c:idx val="0"/>
          <c:order val="0"/>
          <c:spPr>
            <a:ln w="19050" cap="rnd">
              <a:noFill/>
              <a:round/>
            </a:ln>
            <a:effectLst/>
          </c:spPr>
          <c:marker>
            <c:symbol val="circle"/>
            <c:size val="5"/>
            <c:spPr>
              <a:solidFill>
                <a:schemeClr val="accent1"/>
              </a:solidFill>
              <a:ln w="9525">
                <a:noFill/>
              </a:ln>
              <a:effectLst/>
            </c:spPr>
          </c:marker>
          <c:trendline>
            <c:spPr>
              <a:ln w="19050" cap="rnd">
                <a:solidFill>
                  <a:schemeClr val="accent1"/>
                </a:solidFill>
                <a:prstDash val="sysDot"/>
              </a:ln>
              <a:effectLst/>
            </c:spPr>
            <c:trendlineType val="linear"/>
            <c:dispRSqr val="1"/>
            <c:dispEq val="1"/>
            <c:trendlineLbl>
              <c:layout>
                <c:manualLayout>
                  <c:x val="8.3335080784675553E-2"/>
                  <c:y val="0.32984174664001503"/>
                </c:manualLayout>
              </c:layout>
              <c:numFmt formatCode="General" sourceLinked="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trendlineLbl>
          </c:trendline>
          <c:xVal>
            <c:numRef>
              <c:f>'Solar Calculator'!$C$2:$C$26</c:f>
              <c:numCache>
                <c:formatCode>General</c:formatCode>
                <c:ptCount val="25"/>
                <c:pt idx="0">
                  <c:v>260</c:v>
                </c:pt>
                <c:pt idx="1">
                  <c:v>80</c:v>
                </c:pt>
                <c:pt idx="2">
                  <c:v>80</c:v>
                </c:pt>
                <c:pt idx="3">
                  <c:v>80</c:v>
                </c:pt>
                <c:pt idx="4">
                  <c:v>200</c:v>
                </c:pt>
                <c:pt idx="5">
                  <c:v>200</c:v>
                </c:pt>
                <c:pt idx="6">
                  <c:v>200</c:v>
                </c:pt>
                <c:pt idx="7">
                  <c:v>150</c:v>
                </c:pt>
                <c:pt idx="8">
                  <c:v>70</c:v>
                </c:pt>
                <c:pt idx="9">
                  <c:v>150</c:v>
                </c:pt>
                <c:pt idx="10">
                  <c:v>70</c:v>
                </c:pt>
                <c:pt idx="11">
                  <c:v>90</c:v>
                </c:pt>
                <c:pt idx="12">
                  <c:v>40</c:v>
                </c:pt>
                <c:pt idx="13">
                  <c:v>600</c:v>
                </c:pt>
                <c:pt idx="14">
                  <c:v>40</c:v>
                </c:pt>
                <c:pt idx="15">
                  <c:v>40</c:v>
                </c:pt>
                <c:pt idx="16">
                  <c:v>250</c:v>
                </c:pt>
                <c:pt idx="17">
                  <c:v>35</c:v>
                </c:pt>
                <c:pt idx="18">
                  <c:v>50</c:v>
                </c:pt>
                <c:pt idx="19">
                  <c:v>80</c:v>
                </c:pt>
                <c:pt idx="20">
                  <c:v>80</c:v>
                </c:pt>
                <c:pt idx="21">
                  <c:v>80</c:v>
                </c:pt>
                <c:pt idx="22">
                  <c:v>85</c:v>
                </c:pt>
                <c:pt idx="23">
                  <c:v>100</c:v>
                </c:pt>
                <c:pt idx="24">
                  <c:v>400</c:v>
                </c:pt>
              </c:numCache>
            </c:numRef>
          </c:xVal>
          <c:yVal>
            <c:numRef>
              <c:f>'Solar Calculator'!$D$2:$D$26</c:f>
              <c:numCache>
                <c:formatCode>0</c:formatCode>
                <c:ptCount val="25"/>
                <c:pt idx="0">
                  <c:v>1548.0410531097091</c:v>
                </c:pt>
                <c:pt idx="1">
                  <c:v>316.53924909397938</c:v>
                </c:pt>
                <c:pt idx="2">
                  <c:v>299.00180696154405</c:v>
                </c:pt>
                <c:pt idx="3">
                  <c:v>513.00342813458997</c:v>
                </c:pt>
                <c:pt idx="4">
                  <c:v>644.69979900570615</c:v>
                </c:pt>
                <c:pt idx="5">
                  <c:v>843.81926448250931</c:v>
                </c:pt>
                <c:pt idx="6">
                  <c:v>1025.6559430500104</c:v>
                </c:pt>
                <c:pt idx="7">
                  <c:v>546.00070054750609</c:v>
                </c:pt>
                <c:pt idx="8">
                  <c:v>328.27517448336403</c:v>
                </c:pt>
                <c:pt idx="9">
                  <c:v>593.14238679958316</c:v>
                </c:pt>
                <c:pt idx="10">
                  <c:v>844.87131465200105</c:v>
                </c:pt>
                <c:pt idx="11">
                  <c:v>1036.2483824241908</c:v>
                </c:pt>
                <c:pt idx="12">
                  <c:v>180.6979999754048</c:v>
                </c:pt>
                <c:pt idx="13">
                  <c:v>2305.2121516746797</c:v>
                </c:pt>
                <c:pt idx="14">
                  <c:v>139.33063063002348</c:v>
                </c:pt>
                <c:pt idx="15">
                  <c:v>189.15113664935032</c:v>
                </c:pt>
                <c:pt idx="16">
                  <c:v>738.32144723967656</c:v>
                </c:pt>
                <c:pt idx="17">
                  <c:v>191.10024519162712</c:v>
                </c:pt>
                <c:pt idx="18">
                  <c:v>273.00035027375304</c:v>
                </c:pt>
                <c:pt idx="19">
                  <c:v>411.23456194979138</c:v>
                </c:pt>
                <c:pt idx="20">
                  <c:v>496.6011263454705</c:v>
                </c:pt>
                <c:pt idx="21">
                  <c:v>440.79496016704388</c:v>
                </c:pt>
                <c:pt idx="22">
                  <c:v>480.86722927313878</c:v>
                </c:pt>
                <c:pt idx="23">
                  <c:v>440.9881218498515</c:v>
                </c:pt>
                <c:pt idx="24">
                  <c:v>2305.2121516746797</c:v>
                </c:pt>
              </c:numCache>
            </c:numRef>
          </c:yVal>
          <c:smooth val="0"/>
        </c:ser>
        <c:dLbls>
          <c:showLegendKey val="0"/>
          <c:showVal val="0"/>
          <c:showCatName val="0"/>
          <c:showSerName val="0"/>
          <c:showPercent val="0"/>
          <c:showBubbleSize val="0"/>
        </c:dLbls>
        <c:axId val="325854360"/>
        <c:axId val="325860240"/>
      </c:scatterChart>
      <c:valAx>
        <c:axId val="325854360"/>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Temperature [</a:t>
                </a:r>
                <a:r>
                  <a:rPr lang="en-AU">
                    <a:latin typeface="Arial" panose="020B0604020202020204" pitchFamily="34" charset="0"/>
                    <a:cs typeface="Arial" panose="020B0604020202020204" pitchFamily="34" charset="0"/>
                  </a:rPr>
                  <a:t>°C</a:t>
                </a:r>
                <a:r>
                  <a:rPr lang="en-AU"/>
                  <a:t>]</a:t>
                </a:r>
              </a:p>
            </c:rich>
          </c:tx>
          <c:overlay val="0"/>
          <c:spPr>
            <a:noFill/>
            <a:ln>
              <a:noFill/>
            </a:ln>
            <a:effectLst/>
          </c:sp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5860240"/>
        <c:crosses val="autoZero"/>
        <c:crossBetween val="midCat"/>
      </c:valAx>
      <c:valAx>
        <c:axId val="32586024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Specific Cost [$/kW]</a:t>
                </a:r>
              </a:p>
            </c:rich>
          </c:tx>
          <c:overlay val="0"/>
          <c:spPr>
            <a:noFill/>
            <a:ln>
              <a:noFill/>
            </a:ln>
            <a:effectLst/>
          </c:spPr>
        </c:title>
        <c:numFmt formatCode="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5854360"/>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scatterChart>
        <c:scatterStyle val="lineMarker"/>
        <c:varyColors val="0"/>
        <c:ser>
          <c:idx val="0"/>
          <c:order val="0"/>
          <c:tx>
            <c:strRef>
              <c:f>'Solar Calculator'!$G$1</c:f>
              <c:strCache>
                <c:ptCount val="1"/>
                <c:pt idx="0">
                  <c:v>Capacity Factor</c:v>
                </c:pt>
              </c:strCache>
            </c:strRef>
          </c:tx>
          <c:spPr>
            <a:ln w="19050" cap="rnd">
              <a:noFill/>
              <a:round/>
            </a:ln>
            <a:effectLst/>
          </c:spPr>
          <c:marker>
            <c:symbol val="circle"/>
            <c:size val="5"/>
            <c:spPr>
              <a:solidFill>
                <a:schemeClr val="accent1"/>
              </a:solidFill>
              <a:ln w="9525">
                <a:solidFill>
                  <a:schemeClr val="accent1"/>
                </a:solidFill>
              </a:ln>
              <a:effectLst/>
            </c:spPr>
          </c:marker>
          <c:xVal>
            <c:numRef>
              <c:f>'Solar Calculator'!$F$2:$F$117</c:f>
              <c:numCache>
                <c:formatCode>General</c:formatCode>
                <c:ptCount val="116"/>
                <c:pt idx="0">
                  <c:v>25</c:v>
                </c:pt>
                <c:pt idx="1">
                  <c:v>30</c:v>
                </c:pt>
                <c:pt idx="2">
                  <c:v>35</c:v>
                </c:pt>
                <c:pt idx="3">
                  <c:v>40</c:v>
                </c:pt>
                <c:pt idx="4">
                  <c:v>45</c:v>
                </c:pt>
                <c:pt idx="5">
                  <c:v>50</c:v>
                </c:pt>
                <c:pt idx="6">
                  <c:v>55</c:v>
                </c:pt>
                <c:pt idx="7">
                  <c:v>60</c:v>
                </c:pt>
                <c:pt idx="8">
                  <c:v>65</c:v>
                </c:pt>
                <c:pt idx="9">
                  <c:v>70</c:v>
                </c:pt>
                <c:pt idx="10">
                  <c:v>75</c:v>
                </c:pt>
                <c:pt idx="11">
                  <c:v>80</c:v>
                </c:pt>
                <c:pt idx="12">
                  <c:v>85</c:v>
                </c:pt>
                <c:pt idx="13">
                  <c:v>90</c:v>
                </c:pt>
                <c:pt idx="14">
                  <c:v>95</c:v>
                </c:pt>
                <c:pt idx="15">
                  <c:v>100</c:v>
                </c:pt>
                <c:pt idx="16">
                  <c:v>105</c:v>
                </c:pt>
                <c:pt idx="17">
                  <c:v>110</c:v>
                </c:pt>
                <c:pt idx="18">
                  <c:v>115</c:v>
                </c:pt>
                <c:pt idx="19">
                  <c:v>120</c:v>
                </c:pt>
                <c:pt idx="20">
                  <c:v>125</c:v>
                </c:pt>
                <c:pt idx="21">
                  <c:v>130</c:v>
                </c:pt>
                <c:pt idx="22">
                  <c:v>135</c:v>
                </c:pt>
                <c:pt idx="23">
                  <c:v>140</c:v>
                </c:pt>
                <c:pt idx="24">
                  <c:v>145</c:v>
                </c:pt>
                <c:pt idx="25">
                  <c:v>150</c:v>
                </c:pt>
                <c:pt idx="26">
                  <c:v>155</c:v>
                </c:pt>
                <c:pt idx="27">
                  <c:v>160</c:v>
                </c:pt>
                <c:pt idx="28">
                  <c:v>165</c:v>
                </c:pt>
                <c:pt idx="29">
                  <c:v>170</c:v>
                </c:pt>
                <c:pt idx="30">
                  <c:v>175</c:v>
                </c:pt>
                <c:pt idx="31">
                  <c:v>180</c:v>
                </c:pt>
                <c:pt idx="32">
                  <c:v>185</c:v>
                </c:pt>
                <c:pt idx="33">
                  <c:v>190</c:v>
                </c:pt>
                <c:pt idx="34">
                  <c:v>195</c:v>
                </c:pt>
                <c:pt idx="35">
                  <c:v>200</c:v>
                </c:pt>
                <c:pt idx="36">
                  <c:v>205</c:v>
                </c:pt>
                <c:pt idx="37">
                  <c:v>210</c:v>
                </c:pt>
                <c:pt idx="38">
                  <c:v>215</c:v>
                </c:pt>
                <c:pt idx="39">
                  <c:v>220</c:v>
                </c:pt>
                <c:pt idx="40">
                  <c:v>225</c:v>
                </c:pt>
                <c:pt idx="41">
                  <c:v>230</c:v>
                </c:pt>
                <c:pt idx="42">
                  <c:v>235</c:v>
                </c:pt>
                <c:pt idx="43">
                  <c:v>240</c:v>
                </c:pt>
                <c:pt idx="44">
                  <c:v>245</c:v>
                </c:pt>
                <c:pt idx="45">
                  <c:v>250</c:v>
                </c:pt>
                <c:pt idx="46">
                  <c:v>255</c:v>
                </c:pt>
                <c:pt idx="47">
                  <c:v>260</c:v>
                </c:pt>
                <c:pt idx="48">
                  <c:v>265</c:v>
                </c:pt>
                <c:pt idx="49">
                  <c:v>270</c:v>
                </c:pt>
                <c:pt idx="50">
                  <c:v>275</c:v>
                </c:pt>
                <c:pt idx="51">
                  <c:v>280</c:v>
                </c:pt>
                <c:pt idx="52">
                  <c:v>285</c:v>
                </c:pt>
                <c:pt idx="53">
                  <c:v>290</c:v>
                </c:pt>
                <c:pt idx="54">
                  <c:v>295</c:v>
                </c:pt>
                <c:pt idx="55">
                  <c:v>300</c:v>
                </c:pt>
                <c:pt idx="56">
                  <c:v>305</c:v>
                </c:pt>
                <c:pt idx="57">
                  <c:v>310</c:v>
                </c:pt>
                <c:pt idx="58">
                  <c:v>315</c:v>
                </c:pt>
                <c:pt idx="59">
                  <c:v>320</c:v>
                </c:pt>
                <c:pt idx="60">
                  <c:v>325</c:v>
                </c:pt>
                <c:pt idx="61">
                  <c:v>330</c:v>
                </c:pt>
                <c:pt idx="62">
                  <c:v>335</c:v>
                </c:pt>
                <c:pt idx="63">
                  <c:v>340</c:v>
                </c:pt>
                <c:pt idx="64">
                  <c:v>345</c:v>
                </c:pt>
                <c:pt idx="65">
                  <c:v>350</c:v>
                </c:pt>
                <c:pt idx="66">
                  <c:v>355</c:v>
                </c:pt>
                <c:pt idx="67">
                  <c:v>360</c:v>
                </c:pt>
                <c:pt idx="68">
                  <c:v>365</c:v>
                </c:pt>
                <c:pt idx="69">
                  <c:v>370</c:v>
                </c:pt>
                <c:pt idx="70">
                  <c:v>375</c:v>
                </c:pt>
                <c:pt idx="71">
                  <c:v>380</c:v>
                </c:pt>
                <c:pt idx="72">
                  <c:v>385</c:v>
                </c:pt>
                <c:pt idx="73">
                  <c:v>390</c:v>
                </c:pt>
                <c:pt idx="74">
                  <c:v>395</c:v>
                </c:pt>
                <c:pt idx="75">
                  <c:v>400</c:v>
                </c:pt>
                <c:pt idx="76">
                  <c:v>405</c:v>
                </c:pt>
                <c:pt idx="77">
                  <c:v>410</c:v>
                </c:pt>
                <c:pt idx="78">
                  <c:v>415</c:v>
                </c:pt>
                <c:pt idx="79">
                  <c:v>420</c:v>
                </c:pt>
                <c:pt idx="80">
                  <c:v>425</c:v>
                </c:pt>
                <c:pt idx="81">
                  <c:v>430</c:v>
                </c:pt>
                <c:pt idx="82">
                  <c:v>435</c:v>
                </c:pt>
                <c:pt idx="83">
                  <c:v>440</c:v>
                </c:pt>
                <c:pt idx="84">
                  <c:v>445</c:v>
                </c:pt>
                <c:pt idx="85">
                  <c:v>450</c:v>
                </c:pt>
                <c:pt idx="86">
                  <c:v>455</c:v>
                </c:pt>
                <c:pt idx="87">
                  <c:v>460</c:v>
                </c:pt>
                <c:pt idx="88">
                  <c:v>465</c:v>
                </c:pt>
                <c:pt idx="89">
                  <c:v>470</c:v>
                </c:pt>
                <c:pt idx="90">
                  <c:v>475</c:v>
                </c:pt>
                <c:pt idx="91">
                  <c:v>480</c:v>
                </c:pt>
                <c:pt idx="92">
                  <c:v>485</c:v>
                </c:pt>
                <c:pt idx="93">
                  <c:v>490</c:v>
                </c:pt>
                <c:pt idx="94">
                  <c:v>495</c:v>
                </c:pt>
                <c:pt idx="95">
                  <c:v>500</c:v>
                </c:pt>
                <c:pt idx="96">
                  <c:v>505</c:v>
                </c:pt>
                <c:pt idx="97">
                  <c:v>510</c:v>
                </c:pt>
                <c:pt idx="98">
                  <c:v>515</c:v>
                </c:pt>
                <c:pt idx="99">
                  <c:v>520</c:v>
                </c:pt>
                <c:pt idx="100">
                  <c:v>525</c:v>
                </c:pt>
                <c:pt idx="101">
                  <c:v>530</c:v>
                </c:pt>
                <c:pt idx="102">
                  <c:v>535</c:v>
                </c:pt>
                <c:pt idx="103">
                  <c:v>540</c:v>
                </c:pt>
                <c:pt idx="104">
                  <c:v>545</c:v>
                </c:pt>
                <c:pt idx="105">
                  <c:v>550</c:v>
                </c:pt>
                <c:pt idx="106">
                  <c:v>555</c:v>
                </c:pt>
                <c:pt idx="107">
                  <c:v>560</c:v>
                </c:pt>
                <c:pt idx="108">
                  <c:v>565</c:v>
                </c:pt>
                <c:pt idx="109">
                  <c:v>570</c:v>
                </c:pt>
                <c:pt idx="110">
                  <c:v>575</c:v>
                </c:pt>
                <c:pt idx="111">
                  <c:v>580</c:v>
                </c:pt>
                <c:pt idx="112">
                  <c:v>585</c:v>
                </c:pt>
                <c:pt idx="113">
                  <c:v>590</c:v>
                </c:pt>
                <c:pt idx="114">
                  <c:v>595</c:v>
                </c:pt>
                <c:pt idx="115">
                  <c:v>600</c:v>
                </c:pt>
              </c:numCache>
            </c:numRef>
          </c:xVal>
          <c:yVal>
            <c:numRef>
              <c:f>'Solar Calculator'!$G$2:$G$117</c:f>
              <c:numCache>
                <c:formatCode>0.00%</c:formatCode>
                <c:ptCount val="116"/>
                <c:pt idx="0">
                  <c:v>0.33699077235747232</c:v>
                </c:pt>
                <c:pt idx="1">
                  <c:v>0.33680004457772295</c:v>
                </c:pt>
                <c:pt idx="2">
                  <c:v>0.33659285122676041</c:v>
                </c:pt>
                <c:pt idx="3">
                  <c:v>0.33636697003173421</c:v>
                </c:pt>
                <c:pt idx="4">
                  <c:v>0.33611976124915438</c:v>
                </c:pt>
                <c:pt idx="5">
                  <c:v>0.33584806515100624</c:v>
                </c:pt>
                <c:pt idx="6">
                  <c:v>0.33554806786363567</c:v>
                </c:pt>
                <c:pt idx="7">
                  <c:v>0.33521512359488076</c:v>
                </c:pt>
                <c:pt idx="8">
                  <c:v>0.33484351584744576</c:v>
                </c:pt>
                <c:pt idx="9">
                  <c:v>0.3344261318486037</c:v>
                </c:pt>
                <c:pt idx="10">
                  <c:v>0.33395401127420876</c:v>
                </c:pt>
                <c:pt idx="11">
                  <c:v>0.3334157091892973</c:v>
                </c:pt>
                <c:pt idx="12">
                  <c:v>0.33279637821892988</c:v>
                </c:pt>
                <c:pt idx="13">
                  <c:v>0.33207641571541469</c:v>
                </c:pt>
                <c:pt idx="14">
                  <c:v>0.33122941794645044</c:v>
                </c:pt>
                <c:pt idx="15">
                  <c:v>0.33021899528714405</c:v>
                </c:pt>
                <c:pt idx="16">
                  <c:v>0.3289936482521581</c:v>
                </c:pt>
                <c:pt idx="17">
                  <c:v>0.32747820853838983</c:v>
                </c:pt>
                <c:pt idx="18">
                  <c:v>0.32555891917580276</c:v>
                </c:pt>
                <c:pt idx="19">
                  <c:v>0.32305614760125057</c:v>
                </c:pt>
                <c:pt idx="20">
                  <c:v>0.31967181221282492</c:v>
                </c:pt>
                <c:pt idx="21">
                  <c:v>0.31488287725605074</c:v>
                </c:pt>
                <c:pt idx="22">
                  <c:v>0.30772002957015726</c:v>
                </c:pt>
                <c:pt idx="23">
                  <c:v>0.29635004532280412</c:v>
                </c:pt>
                <c:pt idx="24">
                  <c:v>0.27781721338955756</c:v>
                </c:pt>
                <c:pt idx="25">
                  <c:v>0.25111111111111112</c:v>
                </c:pt>
                <c:pt idx="26">
                  <c:v>0.22440500883266468</c:v>
                </c:pt>
                <c:pt idx="27">
                  <c:v>0.20587217689941809</c:v>
                </c:pt>
                <c:pt idx="28">
                  <c:v>0.19450219265206498</c:v>
                </c:pt>
                <c:pt idx="29">
                  <c:v>0.18733934496617149</c:v>
                </c:pt>
                <c:pt idx="30">
                  <c:v>0.18255041000939731</c:v>
                </c:pt>
                <c:pt idx="31">
                  <c:v>0.17916607462097167</c:v>
                </c:pt>
                <c:pt idx="32">
                  <c:v>0.17666330304641947</c:v>
                </c:pt>
                <c:pt idx="33">
                  <c:v>0.17474401368383244</c:v>
                </c:pt>
                <c:pt idx="34">
                  <c:v>0.17322857397006414</c:v>
                </c:pt>
                <c:pt idx="35">
                  <c:v>0.17200322693507819</c:v>
                </c:pt>
                <c:pt idx="36">
                  <c:v>0.17099280427577182</c:v>
                </c:pt>
                <c:pt idx="37">
                  <c:v>0.17014580650680758</c:v>
                </c:pt>
                <c:pt idx="38">
                  <c:v>0.16942584400329236</c:v>
                </c:pt>
                <c:pt idx="39">
                  <c:v>0.16880651303292493</c:v>
                </c:pt>
                <c:pt idx="40">
                  <c:v>0.1682682109480135</c:v>
                </c:pt>
                <c:pt idx="41">
                  <c:v>0.16779609037361853</c:v>
                </c:pt>
                <c:pt idx="42">
                  <c:v>0.16737870637477645</c:v>
                </c:pt>
                <c:pt idx="43">
                  <c:v>0.16700709862734148</c:v>
                </c:pt>
                <c:pt idx="44">
                  <c:v>0.16667415435858654</c:v>
                </c:pt>
                <c:pt idx="45">
                  <c:v>0.166374157071216</c:v>
                </c:pt>
                <c:pt idx="46">
                  <c:v>0.16610246097306786</c:v>
                </c:pt>
                <c:pt idx="47">
                  <c:v>0.165855252190488</c:v>
                </c:pt>
                <c:pt idx="48">
                  <c:v>0.16562937099546182</c:v>
                </c:pt>
                <c:pt idx="49">
                  <c:v>0.16542217764449929</c:v>
                </c:pt>
                <c:pt idx="50">
                  <c:v>0.16523144986474994</c:v>
                </c:pt>
                <c:pt idx="51">
                  <c:v>0.16505530362486429</c:v>
                </c:pt>
                <c:pt idx="52">
                  <c:v>0.16489213125682245</c:v>
                </c:pt>
                <c:pt idx="53">
                  <c:v>0.1647405526593578</c:v>
                </c:pt>
                <c:pt idx="54">
                  <c:v>0.16459937647146525</c:v>
                </c:pt>
                <c:pt idx="55">
                  <c:v>0.1644675689212125</c:v>
                </c:pt>
                <c:pt idx="56">
                  <c:v>0.16434422863863696</c:v>
                </c:pt>
                <c:pt idx="57">
                  <c:v>0.16422856614349221</c:v>
                </c:pt>
                <c:pt idx="58">
                  <c:v>0.16411988702717445</c:v>
                </c:pt>
                <c:pt idx="59">
                  <c:v>0.16401757807615069</c:v>
                </c:pt>
                <c:pt idx="60">
                  <c:v>0.1639210957543259</c:v>
                </c:pt>
                <c:pt idx="61">
                  <c:v>0.16382995658987837</c:v>
                </c:pt>
                <c:pt idx="62">
                  <c:v>0.16374372910938084</c:v>
                </c:pt>
                <c:pt idx="63">
                  <c:v>0.16366202703651533</c:v>
                </c:pt>
                <c:pt idx="64">
                  <c:v>0.16358450353016199</c:v>
                </c:pt>
                <c:pt idx="65">
                  <c:v>0.16351084628130896</c:v>
                </c:pt>
                <c:pt idx="66">
                  <c:v>0.16344077332317714</c:v>
                </c:pt>
                <c:pt idx="67">
                  <c:v>0.16337402943647933</c:v>
                </c:pt>
                <c:pt idx="68">
                  <c:v>0.16331038305354284</c:v>
                </c:pt>
                <c:pt idx="69">
                  <c:v>0.16324962358240791</c:v>
                </c:pt>
                <c:pt idx="70">
                  <c:v>0.16319155908594715</c:v>
                </c:pt>
                <c:pt idx="71">
                  <c:v>0.16313601426227725</c:v>
                </c:pt>
                <c:pt idx="72">
                  <c:v>0.16308282868182464</c:v>
                </c:pt>
                <c:pt idx="73">
                  <c:v>0.16303185524380376</c:v>
                </c:pt>
                <c:pt idx="74">
                  <c:v>0.16298295882091413</c:v>
                </c:pt>
                <c:pt idx="75">
                  <c:v>0.16293601506602656</c:v>
                </c:pt>
                <c:pt idx="76">
                  <c:v>0.16289090935872341</c:v>
                </c:pt>
                <c:pt idx="77">
                  <c:v>0.16284753587294551</c:v>
                </c:pt>
                <c:pt idx="78">
                  <c:v>0.16280579674981643</c:v>
                </c:pt>
                <c:pt idx="79">
                  <c:v>0.16276560136206344</c:v>
                </c:pt>
                <c:pt idx="80">
                  <c:v>0.16272686565842065</c:v>
                </c:pt>
                <c:pt idx="81">
                  <c:v>0.16268951157805414</c:v>
                </c:pt>
                <c:pt idx="82">
                  <c:v>0.16265346652643886</c:v>
                </c:pt>
                <c:pt idx="83">
                  <c:v>0.16261866290529675</c:v>
                </c:pt>
                <c:pt idx="84">
                  <c:v>0.16258503769020224</c:v>
                </c:pt>
                <c:pt idx="85">
                  <c:v>0.16255253205031212</c:v>
                </c:pt>
                <c:pt idx="86">
                  <c:v>0.16252109100539985</c:v>
                </c:pt>
                <c:pt idx="87">
                  <c:v>0.16249066311599569</c:v>
                </c:pt>
                <c:pt idx="88">
                  <c:v>0.16246120020296423</c:v>
                </c:pt>
                <c:pt idx="89">
                  <c:v>0.16243265709330851</c:v>
                </c:pt>
                <c:pt idx="90">
                  <c:v>0.16240499138938411</c:v>
                </c:pt>
                <c:pt idx="91">
                  <c:v>0.16237816325904653</c:v>
                </c:pt>
                <c:pt idx="92">
                  <c:v>0.16235213524455056</c:v>
                </c:pt>
                <c:pt idx="93">
                  <c:v>0.16232687208827576</c:v>
                </c:pt>
                <c:pt idx="94">
                  <c:v>0.16230234057357501</c:v>
                </c:pt>
                <c:pt idx="95">
                  <c:v>0.16227850937923766</c:v>
                </c:pt>
                <c:pt idx="96">
                  <c:v>0.16225534894622767</c:v>
                </c:pt>
                <c:pt idx="97">
                  <c:v>0.16223283135550615</c:v>
                </c:pt>
                <c:pt idx="98">
                  <c:v>0.16221093021587715</c:v>
                </c:pt>
                <c:pt idx="99">
                  <c:v>0.16218962056091152</c:v>
                </c:pt>
                <c:pt idx="100">
                  <c:v>0.16216887875410191</c:v>
                </c:pt>
                <c:pt idx="101">
                  <c:v>0.16214868240149338</c:v>
                </c:pt>
                <c:pt idx="102">
                  <c:v>0.16212901027111071</c:v>
                </c:pt>
                <c:pt idx="103">
                  <c:v>0.16210984221857369</c:v>
                </c:pt>
                <c:pt idx="104">
                  <c:v>0.16209115911835315</c:v>
                </c:pt>
                <c:pt idx="105">
                  <c:v>0.16207294280017487</c:v>
                </c:pt>
                <c:pt idx="106">
                  <c:v>0.16205517599012759</c:v>
                </c:pt>
                <c:pt idx="107">
                  <c:v>0.16203784225607365</c:v>
                </c:pt>
                <c:pt idx="108">
                  <c:v>0.16202092595700052</c:v>
                </c:pt>
                <c:pt idx="109">
                  <c:v>0.1620044121959851</c:v>
                </c:pt>
                <c:pt idx="110">
                  <c:v>0.16198828677647356</c:v>
                </c:pt>
                <c:pt idx="111">
                  <c:v>0.16197253616160773</c:v>
                </c:pt>
                <c:pt idx="112">
                  <c:v>0.1619571474363527</c:v>
                </c:pt>
                <c:pt idx="113">
                  <c:v>0.16194210827220359</c:v>
                </c:pt>
                <c:pt idx="114">
                  <c:v>0.16192740689426863</c:v>
                </c:pt>
                <c:pt idx="115">
                  <c:v>0.16191303205054408</c:v>
                </c:pt>
              </c:numCache>
            </c:numRef>
          </c:yVal>
          <c:smooth val="0"/>
        </c:ser>
        <c:dLbls>
          <c:showLegendKey val="0"/>
          <c:showVal val="0"/>
          <c:showCatName val="0"/>
          <c:showSerName val="0"/>
          <c:showPercent val="0"/>
          <c:showBubbleSize val="0"/>
        </c:dLbls>
        <c:axId val="325856712"/>
        <c:axId val="325853184"/>
      </c:scatterChart>
      <c:valAx>
        <c:axId val="325856712"/>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AU"/>
                  <a:t>Temperature</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5853184"/>
        <c:crosses val="autoZero"/>
        <c:crossBetween val="midCat"/>
      </c:valAx>
      <c:valAx>
        <c:axId val="32585318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Capacity Factor</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0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325856712"/>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3" Type="http://schemas.openxmlformats.org/officeDocument/2006/relationships/chart" Target="../charts/chart2.xml"/><Relationship Id="rId7" Type="http://schemas.openxmlformats.org/officeDocument/2006/relationships/chart" Target="../charts/chart6.xml"/><Relationship Id="rId2" Type="http://schemas.openxmlformats.org/officeDocument/2006/relationships/chart" Target="../charts/chart1.xml"/><Relationship Id="rId1" Type="http://schemas.openxmlformats.org/officeDocument/2006/relationships/image" Target="../media/image1.png"/><Relationship Id="rId6" Type="http://schemas.openxmlformats.org/officeDocument/2006/relationships/chart" Target="../charts/chart5.xml"/><Relationship Id="rId5" Type="http://schemas.openxmlformats.org/officeDocument/2006/relationships/chart" Target="../charts/chart4.xml"/><Relationship Id="rId4"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image" Target="../media/image5.emf"/></Relationships>
</file>

<file path=xl/drawings/_rels/drawing11.xml.rels><?xml version="1.0" encoding="UTF-8" standalone="yes"?>
<Relationships xmlns="http://schemas.openxmlformats.org/package/2006/relationships"><Relationship Id="rId1" Type="http://schemas.openxmlformats.org/officeDocument/2006/relationships/image" Target="../media/image5.emf"/></Relationships>
</file>

<file path=xl/drawings/_rels/drawing12.xml.rels><?xml version="1.0" encoding="UTF-8" standalone="yes"?>
<Relationships xmlns="http://schemas.openxmlformats.org/package/2006/relationships"><Relationship Id="rId1" Type="http://schemas.openxmlformats.org/officeDocument/2006/relationships/image" Target="../media/image5.emf"/></Relationships>
</file>

<file path=xl/drawings/_rels/drawing13.xml.rels><?xml version="1.0" encoding="UTF-8" standalone="yes"?>
<Relationships xmlns="http://schemas.openxmlformats.org/package/2006/relationships"><Relationship Id="rId1" Type="http://schemas.openxmlformats.org/officeDocument/2006/relationships/image" Target="../media/image5.emf"/></Relationships>
</file>

<file path=xl/drawings/_rels/drawing14.xml.rels><?xml version="1.0" encoding="UTF-8" standalone="yes"?>
<Relationships xmlns="http://schemas.openxmlformats.org/package/2006/relationships"><Relationship Id="rId1" Type="http://schemas.openxmlformats.org/officeDocument/2006/relationships/image" Target="../media/image5.emf"/></Relationships>
</file>

<file path=xl/drawings/_rels/drawing15.xml.rels><?xml version="1.0" encoding="UTF-8" standalone="yes"?>
<Relationships xmlns="http://schemas.openxmlformats.org/package/2006/relationships"><Relationship Id="rId1" Type="http://schemas.openxmlformats.org/officeDocument/2006/relationships/image" Target="../media/image5.emf"/></Relationships>
</file>

<file path=xl/drawings/_rels/drawing16.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1</xdr:col>
      <xdr:colOff>30480</xdr:colOff>
      <xdr:row>3</xdr:row>
      <xdr:rowOff>22860</xdr:rowOff>
    </xdr:from>
    <xdr:to>
      <xdr:col>11</xdr:col>
      <xdr:colOff>502920</xdr:colOff>
      <xdr:row>30</xdr:row>
      <xdr:rowOff>144780</xdr:rowOff>
    </xdr:to>
    <xdr:sp macro="" textlink="">
      <xdr:nvSpPr>
        <xdr:cNvPr id="2" name="TextBox 1"/>
        <xdr:cNvSpPr txBox="1"/>
      </xdr:nvSpPr>
      <xdr:spPr>
        <a:xfrm>
          <a:off x="655320" y="571500"/>
          <a:ext cx="6720840" cy="5059680"/>
        </a:xfrm>
        <a:prstGeom prst="rect">
          <a:avLst/>
        </a:prstGeom>
        <a:solidFill>
          <a:schemeClr val="accent4">
            <a:lumMod val="20000"/>
            <a:lumOff val="80000"/>
          </a:schemeClr>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100">
              <a:solidFill>
                <a:schemeClr val="dk1"/>
              </a:solidFill>
              <a:effectLst/>
              <a:latin typeface="+mn-lt"/>
              <a:ea typeface="+mn-ea"/>
              <a:cs typeface="+mn-cs"/>
            </a:rPr>
            <a:t>This document is the economic screening tool developed in conjunction with the study</a:t>
          </a:r>
          <a:r>
            <a:rPr lang="en-AU" sz="1100" baseline="0">
              <a:solidFill>
                <a:schemeClr val="dk1"/>
              </a:solidFill>
              <a:effectLst/>
              <a:latin typeface="+mn-lt"/>
              <a:ea typeface="+mn-ea"/>
              <a:cs typeface="+mn-cs"/>
            </a:rPr>
            <a:t> of </a:t>
          </a:r>
          <a:r>
            <a:rPr lang="en-AU" sz="1100" i="1" baseline="0">
              <a:solidFill>
                <a:schemeClr val="dk1"/>
              </a:solidFill>
              <a:effectLst/>
              <a:latin typeface="+mn-lt"/>
              <a:ea typeface="+mn-ea"/>
              <a:cs typeface="+mn-cs"/>
            </a:rPr>
            <a:t>Renewable Energfy Options for Australian Industrial Gas Users</a:t>
          </a:r>
          <a:r>
            <a:rPr lang="en-AU" sz="1100" i="1">
              <a:solidFill>
                <a:schemeClr val="dk1"/>
              </a:solidFill>
              <a:effectLst/>
              <a:latin typeface="+mn-lt"/>
              <a:ea typeface="+mn-ea"/>
              <a:cs typeface="+mn-cs"/>
            </a:rPr>
            <a:t> </a:t>
          </a:r>
          <a:r>
            <a:rPr lang="en-AU" sz="1100">
              <a:solidFill>
                <a:schemeClr val="dk1"/>
              </a:solidFill>
              <a:effectLst/>
              <a:latin typeface="+mn-lt"/>
              <a:ea typeface="+mn-ea"/>
              <a:cs typeface="+mn-cs"/>
            </a:rPr>
            <a:t>undertaken by IT Power in conjunction with Pitt&amp;Sherry and the Institute for Sustainable Futures. The study was carried out for the Australian Renewable Energy Agency.</a:t>
          </a:r>
        </a:p>
        <a:p>
          <a:r>
            <a:rPr lang="en-AU" sz="1100">
              <a:solidFill>
                <a:schemeClr val="dk1"/>
              </a:solidFill>
              <a:effectLst/>
              <a:latin typeface="+mn-lt"/>
              <a:ea typeface="+mn-ea"/>
              <a:cs typeface="+mn-cs"/>
            </a:rPr>
            <a:t>For details of the research undertaken, there is a Technical Report and a Summary for Stakeholders.</a:t>
          </a:r>
        </a:p>
        <a:p>
          <a:endParaRPr lang="en-AU" sz="1100">
            <a:solidFill>
              <a:schemeClr val="dk1"/>
            </a:solidFill>
            <a:effectLst/>
            <a:latin typeface="+mn-lt"/>
            <a:ea typeface="+mn-ea"/>
            <a:cs typeface="+mn-cs"/>
          </a:endParaRPr>
        </a:p>
        <a:p>
          <a:r>
            <a:rPr lang="en-AU" sz="1100">
              <a:solidFill>
                <a:schemeClr val="dk1"/>
              </a:solidFill>
              <a:effectLst/>
              <a:latin typeface="+mn-lt"/>
              <a:ea typeface="+mn-ea"/>
              <a:cs typeface="+mn-cs"/>
            </a:rPr>
            <a:t>IT Power (Australia) Pty Ltd is part of the IT Power Group, a specialist engineering consultancy focusing on renewable energy, energy efficiency and climate change policies</a:t>
          </a:r>
        </a:p>
        <a:p>
          <a:r>
            <a:rPr lang="en-AU" sz="1100">
              <a:solidFill>
                <a:schemeClr val="dk1"/>
              </a:solidFill>
              <a:effectLst/>
              <a:latin typeface="+mn-lt"/>
              <a:ea typeface="+mn-ea"/>
              <a:cs typeface="+mn-cs"/>
            </a:rPr>
            <a:t> </a:t>
          </a:r>
        </a:p>
        <a:p>
          <a:r>
            <a:rPr lang="en-AU" sz="1100">
              <a:solidFill>
                <a:schemeClr val="dk1"/>
              </a:solidFill>
              <a:effectLst/>
              <a:latin typeface="+mn-lt"/>
              <a:ea typeface="+mn-ea"/>
              <a:cs typeface="+mn-cs"/>
            </a:rPr>
            <a:t>Report Authors:  K Lovegrove, S Edwards, J Jordan, J Peterseim, J Rutowitz, H Saddler, M Watt, J Wyder.</a:t>
          </a:r>
        </a:p>
        <a:p>
          <a:endParaRPr lang="en-AU" sz="1100">
            <a:solidFill>
              <a:schemeClr val="dk1"/>
            </a:solidFill>
            <a:effectLst/>
            <a:latin typeface="+mn-lt"/>
            <a:ea typeface="+mn-ea"/>
            <a:cs typeface="+mn-cs"/>
          </a:endParaRPr>
        </a:p>
        <a:p>
          <a:r>
            <a:rPr lang="en-AU" sz="1100">
              <a:solidFill>
                <a:schemeClr val="dk1"/>
              </a:solidFill>
              <a:effectLst/>
              <a:latin typeface="+mn-lt"/>
              <a:ea typeface="+mn-ea"/>
              <a:cs typeface="+mn-cs"/>
            </a:rPr>
            <a:t>Screening tool Authors: J Jordan, K Lovegrove</a:t>
          </a:r>
        </a:p>
        <a:p>
          <a:endParaRPr lang="en-AU" sz="1100">
            <a:solidFill>
              <a:schemeClr val="dk1"/>
            </a:solidFill>
            <a:effectLst/>
            <a:latin typeface="+mn-lt"/>
            <a:ea typeface="+mn-ea"/>
            <a:cs typeface="+mn-cs"/>
          </a:endParaRPr>
        </a:p>
        <a:p>
          <a:r>
            <a:rPr lang="en-AU" sz="1100">
              <a:solidFill>
                <a:schemeClr val="dk1"/>
              </a:solidFill>
              <a:effectLst/>
              <a:latin typeface="+mn-lt"/>
              <a:ea typeface="+mn-ea"/>
              <a:cs typeface="+mn-cs"/>
            </a:rPr>
            <a:t>For further information contact:</a:t>
          </a:r>
        </a:p>
        <a:p>
          <a:r>
            <a:rPr lang="en-AU" sz="1100">
              <a:solidFill>
                <a:schemeClr val="dk1"/>
              </a:solidFill>
              <a:effectLst/>
              <a:latin typeface="+mn-lt"/>
              <a:ea typeface="+mn-ea"/>
              <a:cs typeface="+mn-cs"/>
            </a:rPr>
            <a:t>IT Power Australia</a:t>
          </a:r>
        </a:p>
        <a:p>
          <a:r>
            <a:rPr lang="en-AU" sz="1100">
              <a:solidFill>
                <a:schemeClr val="dk1"/>
              </a:solidFill>
              <a:effectLst/>
              <a:latin typeface="+mn-lt"/>
              <a:ea typeface="+mn-ea"/>
              <a:cs typeface="+mn-cs"/>
            </a:rPr>
            <a:t>Phone:	61-2 6257 3511</a:t>
          </a:r>
        </a:p>
        <a:p>
          <a:r>
            <a:rPr lang="en-AU" sz="1100">
              <a:solidFill>
                <a:schemeClr val="dk1"/>
              </a:solidFill>
              <a:effectLst/>
              <a:latin typeface="+mn-lt"/>
              <a:ea typeface="+mn-ea"/>
              <a:cs typeface="+mn-cs"/>
            </a:rPr>
            <a:t>Email:	info@itpau.com.au</a:t>
          </a:r>
        </a:p>
        <a:p>
          <a:r>
            <a:rPr lang="en-AU" sz="1100">
              <a:solidFill>
                <a:schemeClr val="dk1"/>
              </a:solidFill>
              <a:effectLst/>
              <a:latin typeface="+mn-lt"/>
              <a:ea typeface="+mn-ea"/>
              <a:cs typeface="+mn-cs"/>
            </a:rPr>
            <a:t>Web:	www.itpau.com.au</a:t>
          </a:r>
        </a:p>
        <a:p>
          <a:r>
            <a:rPr lang="en-AU" sz="1100">
              <a:solidFill>
                <a:schemeClr val="dk1"/>
              </a:solidFill>
              <a:effectLst/>
              <a:latin typeface="+mn-lt"/>
              <a:ea typeface="+mn-ea"/>
              <a:cs typeface="+mn-cs"/>
            </a:rPr>
            <a:t>© IT Power (Australia) Pty Ltd</a:t>
          </a:r>
        </a:p>
        <a:p>
          <a:r>
            <a:rPr lang="en-AU" sz="1100">
              <a:solidFill>
                <a:schemeClr val="dk1"/>
              </a:solidFill>
              <a:effectLst/>
              <a:latin typeface="+mn-lt"/>
              <a:ea typeface="+mn-ea"/>
              <a:cs typeface="+mn-cs"/>
            </a:rPr>
            <a:t> </a:t>
          </a:r>
        </a:p>
        <a:p>
          <a:r>
            <a:rPr lang="en-AU" sz="1100">
              <a:solidFill>
                <a:schemeClr val="dk1"/>
              </a:solidFill>
              <a:effectLst/>
              <a:latin typeface="+mn-lt"/>
              <a:ea typeface="+mn-ea"/>
              <a:cs typeface="+mn-cs"/>
            </a:rPr>
            <a:t>The views expressed in the documents are views held by the authors. </a:t>
          </a:r>
        </a:p>
        <a:p>
          <a:r>
            <a:rPr lang="en-AU" sz="1100" b="1">
              <a:solidFill>
                <a:schemeClr val="dk1"/>
              </a:solidFill>
              <a:effectLst/>
              <a:latin typeface="+mn-lt"/>
              <a:ea typeface="+mn-ea"/>
              <a:cs typeface="+mn-cs"/>
            </a:rPr>
            <a:t>This document is for general information only. It should not be used as the basis for making investment decisions.</a:t>
          </a:r>
        </a:p>
        <a:p>
          <a:r>
            <a:rPr lang="en-AU" sz="1100">
              <a:solidFill>
                <a:schemeClr val="dk1"/>
              </a:solidFill>
              <a:effectLst/>
              <a:latin typeface="+mn-lt"/>
              <a:ea typeface="+mn-ea"/>
              <a:cs typeface="+mn-cs"/>
            </a:rPr>
            <a:t>While reasonable efforts have been made to ensure the accuracy, completeness and reliability of the material contained in this document, the authors accept no liability for the accuracy of or inferences from the material contained in this publication, or for any action as a result of any person’s or group’s interpretations, deductions, conclusions or actions in relying on this material. The document does not seek to present the views of ARENA or the Australian Government.</a:t>
          </a:r>
        </a:p>
        <a:p>
          <a:endParaRPr lang="en-AU" sz="1100">
            <a:solidFill>
              <a:schemeClr val="dk1"/>
            </a:solidFill>
            <a:effectLst/>
            <a:latin typeface="+mn-lt"/>
            <a:ea typeface="+mn-ea"/>
            <a:cs typeface="+mn-cs"/>
          </a:endParaRPr>
        </a:p>
        <a:p>
          <a:r>
            <a:rPr lang="en-AU" sz="1100">
              <a:solidFill>
                <a:schemeClr val="dk1"/>
              </a:solidFill>
              <a:effectLst/>
              <a:latin typeface="+mn-lt"/>
              <a:ea typeface="+mn-ea"/>
              <a:cs typeface="+mn-cs"/>
            </a:rPr>
            <a:t>V 1.2 of 31 July 2015</a:t>
          </a:r>
        </a:p>
        <a:p>
          <a:r>
            <a:rPr lang="en-AU" sz="1100">
              <a:solidFill>
                <a:schemeClr val="dk1"/>
              </a:solidFill>
              <a:effectLst/>
              <a:latin typeface="+mn-lt"/>
              <a:ea typeface="+mn-ea"/>
              <a:cs typeface="+mn-cs"/>
            </a:rPr>
            <a:t/>
          </a:r>
          <a:br>
            <a:rPr lang="en-AU" sz="1100">
              <a:solidFill>
                <a:schemeClr val="dk1"/>
              </a:solidFill>
              <a:effectLst/>
              <a:latin typeface="+mn-lt"/>
              <a:ea typeface="+mn-ea"/>
              <a:cs typeface="+mn-cs"/>
            </a:rPr>
          </a:br>
          <a:r>
            <a:rPr lang="en-AU" sz="1100">
              <a:solidFill>
                <a:schemeClr val="dk1"/>
              </a:solidFill>
              <a:effectLst/>
              <a:latin typeface="+mn-lt"/>
              <a:ea typeface="+mn-ea"/>
              <a:cs typeface="+mn-cs"/>
            </a:rPr>
            <a:t> </a:t>
          </a:r>
        </a:p>
        <a:p>
          <a:endParaRPr lang="en-AU" sz="1100"/>
        </a:p>
      </xdr:txBody>
    </xdr:sp>
    <xdr:clientData/>
  </xdr:twoCellAnchor>
  <xdr:twoCellAnchor>
    <xdr:from>
      <xdr:col>1</xdr:col>
      <xdr:colOff>15240</xdr:colOff>
      <xdr:row>0</xdr:row>
      <xdr:rowOff>68580</xdr:rowOff>
    </xdr:from>
    <xdr:to>
      <xdr:col>11</xdr:col>
      <xdr:colOff>510540</xdr:colOff>
      <xdr:row>3</xdr:row>
      <xdr:rowOff>7620</xdr:rowOff>
    </xdr:to>
    <xdr:sp macro="" textlink="">
      <xdr:nvSpPr>
        <xdr:cNvPr id="4" name="TextBox 3"/>
        <xdr:cNvSpPr txBox="1"/>
      </xdr:nvSpPr>
      <xdr:spPr>
        <a:xfrm>
          <a:off x="640080" y="68580"/>
          <a:ext cx="6743700" cy="48768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200" b="1">
              <a:solidFill>
                <a:srgbClr val="C00000"/>
              </a:solidFill>
            </a:rPr>
            <a:t>	Renewable energy options for Australian industrial</a:t>
          </a:r>
          <a:r>
            <a:rPr lang="en-AU" sz="1200" b="1" baseline="0">
              <a:solidFill>
                <a:srgbClr val="C00000"/>
              </a:solidFill>
            </a:rPr>
            <a:t> gas users - economic screening tool    </a:t>
          </a:r>
        </a:p>
        <a:p>
          <a:r>
            <a:rPr lang="en-AU" sz="1200" b="1" baseline="0">
              <a:solidFill>
                <a:srgbClr val="C00000"/>
              </a:solidFill>
            </a:rPr>
            <a:t>			</a:t>
          </a:r>
          <a:r>
            <a:rPr lang="en-AU" sz="1200" b="1">
              <a:solidFill>
                <a:srgbClr val="C00000"/>
              </a:solidFill>
              <a:latin typeface="+mn-lt"/>
              <a:ea typeface="+mn-ea"/>
              <a:cs typeface="+mn-cs"/>
            </a:rPr>
            <a:t>www.itpau.com.au</a:t>
          </a:r>
        </a:p>
      </xdr:txBody>
    </xdr:sp>
    <xdr:clientData/>
  </xdr:twoCellAnchor>
  <xdr:twoCellAnchor>
    <xdr:from>
      <xdr:col>1</xdr:col>
      <xdr:colOff>129540</xdr:colOff>
      <xdr:row>0</xdr:row>
      <xdr:rowOff>129540</xdr:rowOff>
    </xdr:from>
    <xdr:to>
      <xdr:col>2</xdr:col>
      <xdr:colOff>220980</xdr:colOff>
      <xdr:row>2</xdr:row>
      <xdr:rowOff>106680</xdr:rowOff>
    </xdr:to>
    <xdr:pic>
      <xdr:nvPicPr>
        <xdr:cNvPr id="5" name="Picture 4"/>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1238" t="47657" r="67715" b="4687"/>
        <a:stretch/>
      </xdr:blipFill>
      <xdr:spPr>
        <a:xfrm>
          <a:off x="754380" y="129540"/>
          <a:ext cx="716280" cy="342900"/>
        </a:xfrm>
        <a:prstGeom prst="rect">
          <a:avLst/>
        </a:prstGeom>
        <a:extLst>
          <a:ext uri="{FAA26D3D-D897-4be2-8F04-BA451C77F1D7}">
            <ma14:placeholderFlag xmlns:wpc="http://schemas.microsoft.com/office/word/2010/wordprocessingCanvas" xmlns:mc="http://schemas.openxmlformats.org/markup-compatibility/2006" xmlns:r="http://schemas.openxmlformats.org/officeDocument/2006/relationships" xmlns:m="http://schemas.openxmlformats.org/officeDocument/2006/math" xmlns:wp14="http://schemas.microsoft.com/office/word/2010/wordprocessingDrawing" xmlns:wp="http://schemas.openxmlformats.org/drawingml/2006/wordprocessingDrawing" xmlns:w14="http://schemas.microsoft.com/office/word/2010/wordml" xmlns:wpg="http://schemas.microsoft.com/office/word/2010/wordprocessingGroup" xmlns:wpi="http://schemas.microsoft.com/office/word/2010/wordprocessingInk" xmlns:wne="http://schemas.microsoft.com/office/word/2006/wordml" xmlns:wps="http://schemas.microsoft.com/office/word/2010/wordprocessingShape" xmlns:pic="http://schemas.openxmlformats.org/drawingml/2006/picture" xmlns:w15="http://schemas.microsoft.com/office/word/2012/wordml" xmlns="" xmlns:mo="http://schemas.microsoft.com/office/mac/office/2008/main" xmlns:mv="urn:schemas-microsoft-com:mac:vml" xmlns:o="urn:schemas-microsoft-com:office:office" xmlns:v="urn:schemas-microsoft-com:vml" xmlns:w10="urn:schemas-microsoft-com:office:word" xmlns:w="http://schemas.openxmlformats.org/wordprocessingml/2006/main" xmlns:ma14="http://schemas.microsoft.com/office/mac/drawingml/2011/main" xmlns:lc="http://schemas.openxmlformats.org/drawingml/2006/lockedCanvas"/>
          </a:ext>
        </a:extLst>
      </xdr:spPr>
    </xdr:pic>
    <xdr:clientData/>
  </xdr:twoCellAnchor>
  <xdr:twoCellAnchor>
    <xdr:from>
      <xdr:col>11</xdr:col>
      <xdr:colOff>617220</xdr:colOff>
      <xdr:row>3</xdr:row>
      <xdr:rowOff>0</xdr:rowOff>
    </xdr:from>
    <xdr:to>
      <xdr:col>22</xdr:col>
      <xdr:colOff>114300</xdr:colOff>
      <xdr:row>30</xdr:row>
      <xdr:rowOff>22860</xdr:rowOff>
    </xdr:to>
    <xdr:sp macro="" textlink="">
      <xdr:nvSpPr>
        <xdr:cNvPr id="7" name="TextBox 6"/>
        <xdr:cNvSpPr txBox="1"/>
      </xdr:nvSpPr>
      <xdr:spPr>
        <a:xfrm>
          <a:off x="7490460" y="548640"/>
          <a:ext cx="6370320" cy="4960620"/>
        </a:xfrm>
        <a:prstGeom prst="rect">
          <a:avLst/>
        </a:prstGeom>
        <a:solidFill>
          <a:schemeClr val="accent6">
            <a:lumMod val="40000"/>
            <a:lumOff val="60000"/>
          </a:schemeClr>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400" b="1" i="0"/>
            <a:t>Structure</a:t>
          </a:r>
          <a:r>
            <a:rPr lang="en-AU" sz="1400" b="1" i="0" baseline="0"/>
            <a:t> of the Workbook</a:t>
          </a:r>
        </a:p>
        <a:p>
          <a:r>
            <a:rPr lang="en-AU" sz="1400">
              <a:solidFill>
                <a:schemeClr val="dk1"/>
              </a:solidFill>
              <a:latin typeface="+mn-lt"/>
              <a:ea typeface="+mn-ea"/>
              <a:cs typeface="+mn-cs"/>
            </a:rPr>
            <a:t>The </a:t>
          </a:r>
          <a:r>
            <a:rPr lang="en-AU" sz="1400" b="1" i="1">
              <a:solidFill>
                <a:schemeClr val="dk1"/>
              </a:solidFill>
              <a:latin typeface="+mn-lt"/>
              <a:ea typeface="+mn-ea"/>
              <a:cs typeface="+mn-cs"/>
            </a:rPr>
            <a:t>General Parameters</a:t>
          </a:r>
          <a:r>
            <a:rPr lang="en-AU" sz="1400" i="1">
              <a:solidFill>
                <a:schemeClr val="dk1"/>
              </a:solidFill>
              <a:latin typeface="+mn-lt"/>
              <a:ea typeface="+mn-ea"/>
              <a:cs typeface="+mn-cs"/>
            </a:rPr>
            <a:t> </a:t>
          </a:r>
          <a:r>
            <a:rPr lang="en-AU" sz="1400">
              <a:solidFill>
                <a:schemeClr val="dk1"/>
              </a:solidFill>
              <a:latin typeface="+mn-lt"/>
              <a:ea typeface="+mn-ea"/>
              <a:cs typeface="+mn-cs"/>
            </a:rPr>
            <a:t>sheet is for inputs that are common to all technology options evaluated.</a:t>
          </a:r>
        </a:p>
        <a:p>
          <a:r>
            <a:rPr lang="en-AU" sz="1400">
              <a:solidFill>
                <a:schemeClr val="dk1"/>
              </a:solidFill>
              <a:latin typeface="+mn-lt"/>
              <a:ea typeface="+mn-ea"/>
              <a:cs typeface="+mn-cs"/>
            </a:rPr>
            <a:t>The </a:t>
          </a:r>
          <a:r>
            <a:rPr lang="en-AU" sz="1400" b="1" i="1">
              <a:solidFill>
                <a:schemeClr val="dk1"/>
              </a:solidFill>
              <a:latin typeface="+mn-lt"/>
              <a:ea typeface="+mn-ea"/>
              <a:cs typeface="+mn-cs"/>
            </a:rPr>
            <a:t>Baseline sheet</a:t>
          </a:r>
          <a:r>
            <a:rPr lang="en-AU" sz="1400" i="1">
              <a:solidFill>
                <a:schemeClr val="dk1"/>
              </a:solidFill>
              <a:latin typeface="+mn-lt"/>
              <a:ea typeface="+mn-ea"/>
              <a:cs typeface="+mn-cs"/>
            </a:rPr>
            <a:t> </a:t>
          </a:r>
          <a:r>
            <a:rPr lang="en-AU" sz="1400">
              <a:solidFill>
                <a:schemeClr val="dk1"/>
              </a:solidFill>
              <a:latin typeface="+mn-lt"/>
              <a:ea typeface="+mn-ea"/>
              <a:cs typeface="+mn-cs"/>
            </a:rPr>
            <a:t>accepts inputs and returns evaluation of an assumed baseline gas boiler system.</a:t>
          </a:r>
        </a:p>
        <a:p>
          <a:r>
            <a:rPr lang="en-AU" sz="1400">
              <a:solidFill>
                <a:schemeClr val="dk1"/>
              </a:solidFill>
              <a:latin typeface="+mn-lt"/>
              <a:ea typeface="+mn-ea"/>
              <a:cs typeface="+mn-cs"/>
            </a:rPr>
            <a:t>The </a:t>
          </a:r>
          <a:r>
            <a:rPr lang="en-AU" sz="1400" b="1" i="1">
              <a:solidFill>
                <a:schemeClr val="dk1"/>
              </a:solidFill>
              <a:latin typeface="+mn-lt"/>
              <a:ea typeface="+mn-ea"/>
              <a:cs typeface="+mn-cs"/>
            </a:rPr>
            <a:t>Bioenergy</a:t>
          </a:r>
          <a:r>
            <a:rPr lang="en-AU" sz="1400">
              <a:solidFill>
                <a:schemeClr val="dk1"/>
              </a:solidFill>
              <a:latin typeface="+mn-lt"/>
              <a:ea typeface="+mn-ea"/>
              <a:cs typeface="+mn-cs"/>
            </a:rPr>
            <a:t> sheet accepts inputs and returns evaluations for a bionergy system supplemented by gas fired backup if desired. It also shows the results from the baseline system for comparison.</a:t>
          </a:r>
        </a:p>
        <a:p>
          <a:pPr marL="0" marR="0" indent="0" defTabSz="914400" eaLnBrk="1" fontAlgn="auto" latinLnBrk="0" hangingPunct="1">
            <a:lnSpc>
              <a:spcPct val="100000"/>
            </a:lnSpc>
            <a:spcBef>
              <a:spcPts val="0"/>
            </a:spcBef>
            <a:spcAft>
              <a:spcPts val="0"/>
            </a:spcAft>
            <a:buClrTx/>
            <a:buSzTx/>
            <a:buFontTx/>
            <a:buNone/>
            <a:tabLst/>
            <a:defRPr/>
          </a:pPr>
          <a:r>
            <a:rPr lang="en-AU" sz="1400">
              <a:solidFill>
                <a:schemeClr val="dk1"/>
              </a:solidFill>
              <a:latin typeface="+mn-lt"/>
              <a:ea typeface="+mn-ea"/>
              <a:cs typeface="+mn-cs"/>
            </a:rPr>
            <a:t>The </a:t>
          </a:r>
          <a:r>
            <a:rPr lang="en-AU" sz="1400" b="1" i="1">
              <a:solidFill>
                <a:schemeClr val="dk1"/>
              </a:solidFill>
              <a:latin typeface="+mn-lt"/>
              <a:ea typeface="+mn-ea"/>
              <a:cs typeface="+mn-cs"/>
            </a:rPr>
            <a:t>Solar Thermal </a:t>
          </a:r>
          <a:r>
            <a:rPr lang="en-AU" sz="1400">
              <a:solidFill>
                <a:schemeClr val="dk1"/>
              </a:solidFill>
              <a:latin typeface="+mn-lt"/>
              <a:ea typeface="+mn-ea"/>
              <a:cs typeface="+mn-cs"/>
            </a:rPr>
            <a:t>sheet accepts inputs and returns evaluations for a Solar Thermal system supplemented by gas fired backup if desired. It also shows the results from the baseline system for comparison.</a:t>
          </a:r>
        </a:p>
        <a:p>
          <a:pPr marL="0" marR="0" indent="0" defTabSz="914400" eaLnBrk="1" fontAlgn="auto" latinLnBrk="0" hangingPunct="1">
            <a:lnSpc>
              <a:spcPct val="100000"/>
            </a:lnSpc>
            <a:spcBef>
              <a:spcPts val="0"/>
            </a:spcBef>
            <a:spcAft>
              <a:spcPts val="0"/>
            </a:spcAft>
            <a:buClrTx/>
            <a:buSzTx/>
            <a:buFontTx/>
            <a:buNone/>
            <a:tabLst/>
            <a:defRPr/>
          </a:pPr>
          <a:r>
            <a:rPr lang="en-AU" sz="1400">
              <a:solidFill>
                <a:schemeClr val="dk1"/>
              </a:solidFill>
              <a:latin typeface="+mn-lt"/>
              <a:ea typeface="+mn-ea"/>
              <a:cs typeface="+mn-cs"/>
            </a:rPr>
            <a:t>The </a:t>
          </a:r>
          <a:r>
            <a:rPr lang="en-AU" sz="1400" b="1" i="1">
              <a:solidFill>
                <a:schemeClr val="dk1"/>
              </a:solidFill>
              <a:latin typeface="+mn-lt"/>
              <a:ea typeface="+mn-ea"/>
              <a:cs typeface="+mn-cs"/>
            </a:rPr>
            <a:t>Geothermal</a:t>
          </a:r>
          <a:r>
            <a:rPr lang="en-AU" sz="1400">
              <a:solidFill>
                <a:schemeClr val="dk1"/>
              </a:solidFill>
              <a:latin typeface="+mn-lt"/>
              <a:ea typeface="+mn-ea"/>
              <a:cs typeface="+mn-cs"/>
            </a:rPr>
            <a:t> sheet accepts inputs and returns evaluations for a Geothermal system, without any gas fired backup. It also shows the results from the baseline system for comparison.</a:t>
          </a:r>
        </a:p>
        <a:p>
          <a:pPr marL="0" marR="0" indent="0" defTabSz="914400" eaLnBrk="1" fontAlgn="auto" latinLnBrk="0" hangingPunct="1">
            <a:lnSpc>
              <a:spcPct val="100000"/>
            </a:lnSpc>
            <a:spcBef>
              <a:spcPts val="0"/>
            </a:spcBef>
            <a:spcAft>
              <a:spcPts val="0"/>
            </a:spcAft>
            <a:buClrTx/>
            <a:buSzTx/>
            <a:buFontTx/>
            <a:buNone/>
            <a:tabLst/>
            <a:defRPr/>
          </a:pPr>
          <a:r>
            <a:rPr lang="en-AU" sz="1400">
              <a:solidFill>
                <a:schemeClr val="dk1"/>
              </a:solidFill>
              <a:latin typeface="+mn-lt"/>
              <a:ea typeface="+mn-ea"/>
              <a:cs typeface="+mn-cs"/>
            </a:rPr>
            <a:t>The </a:t>
          </a:r>
          <a:r>
            <a:rPr lang="en-AU" sz="1400" b="1" i="1">
              <a:solidFill>
                <a:schemeClr val="dk1"/>
              </a:solidFill>
              <a:latin typeface="+mn-lt"/>
              <a:ea typeface="+mn-ea"/>
              <a:cs typeface="+mn-cs"/>
            </a:rPr>
            <a:t>Heatpump</a:t>
          </a:r>
          <a:r>
            <a:rPr lang="en-AU" sz="1400">
              <a:solidFill>
                <a:schemeClr val="dk1"/>
              </a:solidFill>
              <a:latin typeface="+mn-lt"/>
              <a:ea typeface="+mn-ea"/>
              <a:cs typeface="+mn-cs"/>
            </a:rPr>
            <a:t> sheet accepts inputs and returns evaluations for a Heatpump system, without any gas fired backup. It also shows the results from the baseline system for comparison.</a:t>
          </a:r>
        </a:p>
        <a:p>
          <a:pPr marL="0" marR="0" indent="0" defTabSz="914400" eaLnBrk="1" fontAlgn="auto" latinLnBrk="0" hangingPunct="1">
            <a:lnSpc>
              <a:spcPct val="100000"/>
            </a:lnSpc>
            <a:spcBef>
              <a:spcPts val="0"/>
            </a:spcBef>
            <a:spcAft>
              <a:spcPts val="0"/>
            </a:spcAft>
            <a:buClrTx/>
            <a:buSzTx/>
            <a:buFontTx/>
            <a:buNone/>
            <a:tabLst/>
            <a:defRPr/>
          </a:pPr>
          <a:r>
            <a:rPr lang="en-AU" sz="1400">
              <a:solidFill>
                <a:schemeClr val="dk1"/>
              </a:solidFill>
              <a:latin typeface="+mn-lt"/>
              <a:ea typeface="+mn-ea"/>
              <a:cs typeface="+mn-cs"/>
            </a:rPr>
            <a:t>The </a:t>
          </a:r>
          <a:r>
            <a:rPr lang="en-AU" sz="1400" b="1" i="1">
              <a:solidFill>
                <a:schemeClr val="dk1"/>
              </a:solidFill>
              <a:latin typeface="+mn-lt"/>
              <a:ea typeface="+mn-ea"/>
              <a:cs typeface="+mn-cs"/>
            </a:rPr>
            <a:t>Other</a:t>
          </a:r>
          <a:r>
            <a:rPr lang="en-AU" sz="1400">
              <a:solidFill>
                <a:schemeClr val="dk1"/>
              </a:solidFill>
              <a:latin typeface="+mn-lt"/>
              <a:ea typeface="+mn-ea"/>
              <a:cs typeface="+mn-cs"/>
            </a:rPr>
            <a:t> sheet accepts inputs and returns evaluations for a user defined system supplemented by gas fired backup if desired. It also shows the results from the baseline system for comparison.</a:t>
          </a:r>
        </a:p>
        <a:p>
          <a:pPr marL="0" marR="0" indent="0" defTabSz="914400" eaLnBrk="1" fontAlgn="auto" latinLnBrk="0" hangingPunct="1">
            <a:lnSpc>
              <a:spcPct val="100000"/>
            </a:lnSpc>
            <a:spcBef>
              <a:spcPts val="0"/>
            </a:spcBef>
            <a:spcAft>
              <a:spcPts val="0"/>
            </a:spcAft>
            <a:buClrTx/>
            <a:buSzTx/>
            <a:buFontTx/>
            <a:buNone/>
            <a:tabLst/>
            <a:defRPr/>
          </a:pPr>
          <a:r>
            <a:rPr lang="en-AU" sz="1400">
              <a:solidFill>
                <a:schemeClr val="dk1"/>
              </a:solidFill>
              <a:latin typeface="+mn-lt"/>
              <a:ea typeface="+mn-ea"/>
              <a:cs typeface="+mn-cs"/>
            </a:rPr>
            <a:t>The </a:t>
          </a:r>
          <a:r>
            <a:rPr lang="en-AU" sz="1400" b="1" i="1">
              <a:solidFill>
                <a:schemeClr val="dk1"/>
              </a:solidFill>
              <a:latin typeface="+mn-lt"/>
              <a:ea typeface="+mn-ea"/>
              <a:cs typeface="+mn-cs"/>
            </a:rPr>
            <a:t>Summary</a:t>
          </a:r>
          <a:r>
            <a:rPr lang="en-AU" sz="1400">
              <a:solidFill>
                <a:schemeClr val="dk1"/>
              </a:solidFill>
              <a:latin typeface="+mn-lt"/>
              <a:ea typeface="+mn-ea"/>
              <a:cs typeface="+mn-cs"/>
            </a:rPr>
            <a:t> sheet pulls together the results from these options in a single table for comparison.</a:t>
          </a:r>
        </a:p>
        <a:p>
          <a:pPr marL="0" marR="0" indent="0" defTabSz="914400" eaLnBrk="1" fontAlgn="auto" latinLnBrk="0" hangingPunct="1">
            <a:lnSpc>
              <a:spcPct val="100000"/>
            </a:lnSpc>
            <a:spcBef>
              <a:spcPts val="0"/>
            </a:spcBef>
            <a:spcAft>
              <a:spcPts val="0"/>
            </a:spcAft>
            <a:buClrTx/>
            <a:buSzTx/>
            <a:buFontTx/>
            <a:buNone/>
            <a:tabLst/>
            <a:defRPr/>
          </a:pPr>
          <a:endParaRPr lang="en-AU" sz="1400">
            <a:solidFill>
              <a:schemeClr val="dk1"/>
            </a:solidFill>
            <a:latin typeface="+mn-lt"/>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endParaRPr lang="en-AU" sz="1400" baseline="0">
            <a:solidFill>
              <a:schemeClr val="dk1"/>
            </a:solidFill>
            <a:latin typeface="+mn-lt"/>
            <a:ea typeface="+mn-ea"/>
            <a:cs typeface="+mn-cs"/>
          </a:endParaRPr>
        </a:p>
        <a:p>
          <a:pPr marL="0" indent="0"/>
          <a:endParaRPr lang="en-AU" sz="1400" baseline="0">
            <a:solidFill>
              <a:schemeClr val="dk1"/>
            </a:solidFill>
            <a:latin typeface="+mn-lt"/>
            <a:ea typeface="+mn-ea"/>
            <a:cs typeface="+mn-cs"/>
          </a:endParaRPr>
        </a:p>
        <a:p>
          <a:endParaRPr lang="en-AU" sz="14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45720</xdr:colOff>
      <xdr:row>0</xdr:row>
      <xdr:rowOff>15240</xdr:rowOff>
    </xdr:from>
    <xdr:to>
      <xdr:col>4</xdr:col>
      <xdr:colOff>1836420</xdr:colOff>
      <xdr:row>0</xdr:row>
      <xdr:rowOff>502920</xdr:rowOff>
    </xdr:to>
    <xdr:grpSp>
      <xdr:nvGrpSpPr>
        <xdr:cNvPr id="5" name="Group 4"/>
        <xdr:cNvGrpSpPr/>
      </xdr:nvGrpSpPr>
      <xdr:grpSpPr>
        <a:xfrm>
          <a:off x="45720" y="15240"/>
          <a:ext cx="6828367" cy="487680"/>
          <a:chOff x="45720" y="15240"/>
          <a:chExt cx="6743700" cy="487680"/>
        </a:xfrm>
      </xdr:grpSpPr>
      <xdr:sp macro="" textlink="">
        <xdr:nvSpPr>
          <xdr:cNvPr id="3" name="TextBox 2"/>
          <xdr:cNvSpPr txBox="1"/>
        </xdr:nvSpPr>
        <xdr:spPr>
          <a:xfrm>
            <a:off x="45720" y="15240"/>
            <a:ext cx="6743700" cy="48768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200" b="1">
                <a:solidFill>
                  <a:srgbClr val="C00000"/>
                </a:solidFill>
              </a:rPr>
              <a:t>	Renewable energy options for Australian industrial</a:t>
            </a:r>
            <a:r>
              <a:rPr lang="en-AU" sz="1200" b="1" baseline="0">
                <a:solidFill>
                  <a:srgbClr val="C00000"/>
                </a:solidFill>
              </a:rPr>
              <a:t> gas users - economic screening tool    </a:t>
            </a:r>
          </a:p>
          <a:p>
            <a:r>
              <a:rPr lang="en-AU" sz="1200" b="1" baseline="0">
                <a:solidFill>
                  <a:srgbClr val="C00000"/>
                </a:solidFill>
              </a:rPr>
              <a:t>			</a:t>
            </a:r>
            <a:r>
              <a:rPr lang="en-AU" sz="1200" b="1">
                <a:solidFill>
                  <a:srgbClr val="C00000"/>
                </a:solidFill>
                <a:latin typeface="+mn-lt"/>
                <a:ea typeface="+mn-ea"/>
                <a:cs typeface="+mn-cs"/>
              </a:rPr>
              <a:t>www.itpau.com.au</a:t>
            </a:r>
          </a:p>
        </xdr:txBody>
      </xdr:sp>
      <xdr:pic>
        <xdr:nvPicPr>
          <xdr:cNvPr id="4" name="Picture 3"/>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1238" t="47657" r="67715" b="4687"/>
          <a:stretch/>
        </xdr:blipFill>
        <xdr:spPr>
          <a:xfrm>
            <a:off x="190500" y="83820"/>
            <a:ext cx="716280" cy="342900"/>
          </a:xfrm>
          <a:prstGeom prst="rect">
            <a:avLst/>
          </a:prstGeom>
          <a:extLst>
            <a:ext uri="{FAA26D3D-D897-4be2-8F04-BA451C77F1D7}">
              <ma14:placeholderFlag xmlns:wpc="http://schemas.microsoft.com/office/word/2010/wordprocessingCanvas" xmlns:mc="http://schemas.openxmlformats.org/markup-compatibility/2006" xmlns:r="http://schemas.openxmlformats.org/officeDocument/2006/relationships" xmlns:m="http://schemas.openxmlformats.org/officeDocument/2006/math" xmlns:wp14="http://schemas.microsoft.com/office/word/2010/wordprocessingDrawing" xmlns:wp="http://schemas.openxmlformats.org/drawingml/2006/wordprocessingDrawing" xmlns:w14="http://schemas.microsoft.com/office/word/2010/wordml" xmlns:wpg="http://schemas.microsoft.com/office/word/2010/wordprocessingGroup" xmlns:wpi="http://schemas.microsoft.com/office/word/2010/wordprocessingInk" xmlns:wne="http://schemas.microsoft.com/office/word/2006/wordml" xmlns:wps="http://schemas.microsoft.com/office/word/2010/wordprocessingShape" xmlns:pic="http://schemas.openxmlformats.org/drawingml/2006/picture" xmlns:w15="http://schemas.microsoft.com/office/word/2012/wordml" xmlns="" xmlns:mo="http://schemas.microsoft.com/office/mac/office/2008/main" xmlns:mv="urn:schemas-microsoft-com:mac:vml" xmlns:o="urn:schemas-microsoft-com:office:office" xmlns:v="urn:schemas-microsoft-com:vml" xmlns:w10="urn:schemas-microsoft-com:office:word" xmlns:w="http://schemas.openxmlformats.org/wordprocessingml/2006/main" xmlns:ma14="http://schemas.microsoft.com/office/mac/drawingml/2011/main" xmlns:lc="http://schemas.openxmlformats.org/drawingml/2006/lockedCanvas"/>
            </a:ext>
          </a:extLst>
        </xdr:spPr>
      </xdr:pic>
    </xdr:grp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1874520</xdr:colOff>
      <xdr:row>13</xdr:row>
      <xdr:rowOff>148590</xdr:rowOff>
    </xdr:from>
    <xdr:to>
      <xdr:col>4</xdr:col>
      <xdr:colOff>4201896</xdr:colOff>
      <xdr:row>33</xdr:row>
      <xdr:rowOff>58243</xdr:rowOff>
    </xdr:to>
    <xdr:pic>
      <xdr:nvPicPr>
        <xdr:cNvPr id="2" name="Picture 1"/>
        <xdr:cNvPicPr>
          <a:picLocks noChangeAspect="1"/>
        </xdr:cNvPicPr>
      </xdr:nvPicPr>
      <xdr:blipFill>
        <a:blip xmlns:r="http://schemas.openxmlformats.org/officeDocument/2006/relationships" r:embed="rId1"/>
        <a:stretch>
          <a:fillRect/>
        </a:stretch>
      </xdr:blipFill>
      <xdr:spPr>
        <a:xfrm>
          <a:off x="1874520" y="4895850"/>
          <a:ext cx="7158456" cy="3864433"/>
        </a:xfrm>
        <a:prstGeom prst="rect">
          <a:avLst/>
        </a:prstGeom>
      </xdr:spPr>
    </xdr:pic>
    <xdr:clientData/>
  </xdr:twoCellAnchor>
  <xdr:twoCellAnchor>
    <xdr:from>
      <xdr:col>0</xdr:col>
      <xdr:colOff>60960</xdr:colOff>
      <xdr:row>0</xdr:row>
      <xdr:rowOff>137160</xdr:rowOff>
    </xdr:from>
    <xdr:to>
      <xdr:col>4</xdr:col>
      <xdr:colOff>1973580</xdr:colOff>
      <xdr:row>0</xdr:row>
      <xdr:rowOff>624840</xdr:rowOff>
    </xdr:to>
    <xdr:grpSp>
      <xdr:nvGrpSpPr>
        <xdr:cNvPr id="6" name="Group 5"/>
        <xdr:cNvGrpSpPr/>
      </xdr:nvGrpSpPr>
      <xdr:grpSpPr>
        <a:xfrm>
          <a:off x="60960" y="137160"/>
          <a:ext cx="6738620" cy="487680"/>
          <a:chOff x="4876800" y="4907280"/>
          <a:chExt cx="6743700" cy="487680"/>
        </a:xfrm>
      </xdr:grpSpPr>
      <xdr:sp macro="" textlink="">
        <xdr:nvSpPr>
          <xdr:cNvPr id="3" name="TextBox 2"/>
          <xdr:cNvSpPr txBox="1"/>
        </xdr:nvSpPr>
        <xdr:spPr>
          <a:xfrm>
            <a:off x="4876800" y="4907280"/>
            <a:ext cx="6743700" cy="48768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200" b="1">
                <a:solidFill>
                  <a:srgbClr val="C00000"/>
                </a:solidFill>
              </a:rPr>
              <a:t>	Renewable energy options for Australian industrial</a:t>
            </a:r>
            <a:r>
              <a:rPr lang="en-AU" sz="1200" b="1" baseline="0">
                <a:solidFill>
                  <a:srgbClr val="C00000"/>
                </a:solidFill>
              </a:rPr>
              <a:t> gas users - economic screening tool    </a:t>
            </a:r>
          </a:p>
          <a:p>
            <a:r>
              <a:rPr lang="en-AU" sz="1200" b="1" baseline="0">
                <a:solidFill>
                  <a:srgbClr val="C00000"/>
                </a:solidFill>
              </a:rPr>
              <a:t>			</a:t>
            </a:r>
            <a:r>
              <a:rPr lang="en-AU" sz="1200" b="1">
                <a:solidFill>
                  <a:srgbClr val="C00000"/>
                </a:solidFill>
                <a:latin typeface="+mn-lt"/>
                <a:ea typeface="+mn-ea"/>
                <a:cs typeface="+mn-cs"/>
              </a:rPr>
              <a:t>www.itpau.com.au</a:t>
            </a:r>
          </a:p>
        </xdr:txBody>
      </xdr:sp>
      <xdr:pic>
        <xdr:nvPicPr>
          <xdr:cNvPr id="4" name="Picture 3"/>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1238" t="47657" r="67715" b="4687"/>
          <a:stretch/>
        </xdr:blipFill>
        <xdr:spPr>
          <a:xfrm>
            <a:off x="4975860" y="4975860"/>
            <a:ext cx="716280" cy="342900"/>
          </a:xfrm>
          <a:prstGeom prst="rect">
            <a:avLst/>
          </a:prstGeom>
          <a:extLst>
            <a:ext uri="{FAA26D3D-D897-4be2-8F04-BA451C77F1D7}">
              <ma14:placeholderFlag xmlns:wpc="http://schemas.microsoft.com/office/word/2010/wordprocessingCanvas" xmlns:mc="http://schemas.openxmlformats.org/markup-compatibility/2006" xmlns:r="http://schemas.openxmlformats.org/officeDocument/2006/relationships" xmlns:m="http://schemas.openxmlformats.org/officeDocument/2006/math" xmlns:wp14="http://schemas.microsoft.com/office/word/2010/wordprocessingDrawing" xmlns:wp="http://schemas.openxmlformats.org/drawingml/2006/wordprocessingDrawing" xmlns:w14="http://schemas.microsoft.com/office/word/2010/wordml" xmlns:wpg="http://schemas.microsoft.com/office/word/2010/wordprocessingGroup" xmlns:wpi="http://schemas.microsoft.com/office/word/2010/wordprocessingInk" xmlns:wne="http://schemas.microsoft.com/office/word/2006/wordml" xmlns:wps="http://schemas.microsoft.com/office/word/2010/wordprocessingShape" xmlns:pic="http://schemas.openxmlformats.org/drawingml/2006/picture" xmlns:w15="http://schemas.microsoft.com/office/word/2012/wordml" xmlns="" xmlns:mo="http://schemas.microsoft.com/office/mac/office/2008/main" xmlns:mv="urn:schemas-microsoft-com:mac:vml" xmlns:o="urn:schemas-microsoft-com:office:office" xmlns:v="urn:schemas-microsoft-com:vml" xmlns:w10="urn:schemas-microsoft-com:office:word" xmlns:w="http://schemas.openxmlformats.org/wordprocessingml/2006/main" xmlns:ma14="http://schemas.microsoft.com/office/mac/drawingml/2011/main" xmlns:lc="http://schemas.openxmlformats.org/drawingml/2006/lockedCanvas"/>
            </a:ext>
          </a:extLst>
        </xdr:spPr>
      </xdr:pic>
    </xdr:grpSp>
    <xdr:clientData/>
  </xdr:twoCellAnchor>
  <xdr:twoCellAnchor>
    <xdr:from>
      <xdr:col>4</xdr:col>
      <xdr:colOff>114300</xdr:colOff>
      <xdr:row>14</xdr:row>
      <xdr:rowOff>137160</xdr:rowOff>
    </xdr:from>
    <xdr:to>
      <xdr:col>4</xdr:col>
      <xdr:colOff>1630680</xdr:colOff>
      <xdr:row>17</xdr:row>
      <xdr:rowOff>213360</xdr:rowOff>
    </xdr:to>
    <xdr:sp macro="" textlink="">
      <xdr:nvSpPr>
        <xdr:cNvPr id="7" name="TextBox 6"/>
        <xdr:cNvSpPr txBox="1"/>
      </xdr:nvSpPr>
      <xdr:spPr>
        <a:xfrm>
          <a:off x="4945380" y="5074920"/>
          <a:ext cx="1516380" cy="70104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100"/>
            <a:t>The Gas</a:t>
          </a:r>
          <a:r>
            <a:rPr lang="en-AU" sz="1100" baseline="0"/>
            <a:t> boiler Capex estimator is based on the curves in this graph</a:t>
          </a:r>
          <a:endParaRPr lang="en-AU" sz="1100"/>
        </a:p>
      </xdr:txBody>
    </xdr:sp>
    <xdr:clientData/>
  </xdr:twoCellAnchor>
  <xdr:twoCellAnchor>
    <xdr:from>
      <xdr:col>4</xdr:col>
      <xdr:colOff>2080260</xdr:colOff>
      <xdr:row>0</xdr:row>
      <xdr:rowOff>30480</xdr:rowOff>
    </xdr:from>
    <xdr:to>
      <xdr:col>8</xdr:col>
      <xdr:colOff>609600</xdr:colOff>
      <xdr:row>0</xdr:row>
      <xdr:rowOff>708660</xdr:rowOff>
    </xdr:to>
    <xdr:sp macro="" textlink="">
      <xdr:nvSpPr>
        <xdr:cNvPr id="12" name="TextBox 11"/>
        <xdr:cNvSpPr txBox="1"/>
      </xdr:nvSpPr>
      <xdr:spPr>
        <a:xfrm>
          <a:off x="6911340" y="30480"/>
          <a:ext cx="6774180" cy="67818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AU" sz="1200" b="1">
              <a:solidFill>
                <a:srgbClr val="C00000"/>
              </a:solidFill>
            </a:rPr>
            <a:t>This sheet compares a </a:t>
          </a:r>
          <a:r>
            <a:rPr lang="en-AU" sz="1200" b="1">
              <a:solidFill>
                <a:srgbClr val="C00000"/>
              </a:solidFill>
              <a:latin typeface="+mn-lt"/>
              <a:ea typeface="+mn-ea"/>
              <a:cs typeface="+mn-cs"/>
            </a:rPr>
            <a:t>bionergy option to the baseline.  See Section 5.3 of background technical report.</a:t>
          </a:r>
          <a:r>
            <a:rPr lang="en-AU" sz="1200" b="1" baseline="0">
              <a:solidFill>
                <a:srgbClr val="C00000"/>
              </a:solidFill>
              <a:latin typeface="+mn-lt"/>
              <a:ea typeface="+mn-ea"/>
              <a:cs typeface="+mn-cs"/>
            </a:rPr>
            <a:t> </a:t>
          </a:r>
          <a:r>
            <a:rPr lang="en-AU" sz="1200" b="1">
              <a:solidFill>
                <a:srgbClr val="C00000"/>
              </a:solidFill>
              <a:latin typeface="+mn-lt"/>
              <a:ea typeface="+mn-ea"/>
              <a:cs typeface="+mn-cs"/>
            </a:rPr>
            <a:t>The analysis considers input costs, O&amp;M costs and amortisation of capital. </a:t>
          </a:r>
          <a:r>
            <a:rPr lang="en-AU" sz="1200" b="1" baseline="0">
              <a:solidFill>
                <a:srgbClr val="C00000"/>
              </a:solidFill>
              <a:latin typeface="+mn-lt"/>
              <a:ea typeface="+mn-ea"/>
              <a:cs typeface="+mn-cs"/>
            </a:rPr>
            <a:t>This analysis is for general information only, it should not be used for investment decisions.</a:t>
          </a:r>
        </a:p>
        <a:p>
          <a:pPr algn="l"/>
          <a:endParaRPr lang="en-AU" sz="1200" b="1">
            <a:solidFill>
              <a:srgbClr val="C00000"/>
            </a:solidFill>
            <a:latin typeface="+mn-lt"/>
            <a:ea typeface="+mn-ea"/>
            <a:cs typeface="+mn-cs"/>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4</xdr:col>
      <xdr:colOff>2613660</xdr:colOff>
      <xdr:row>0</xdr:row>
      <xdr:rowOff>60960</xdr:rowOff>
    </xdr:from>
    <xdr:to>
      <xdr:col>10</xdr:col>
      <xdr:colOff>45720</xdr:colOff>
      <xdr:row>0</xdr:row>
      <xdr:rowOff>731520</xdr:rowOff>
    </xdr:to>
    <xdr:sp macro="" textlink="">
      <xdr:nvSpPr>
        <xdr:cNvPr id="9" name="TextBox 8"/>
        <xdr:cNvSpPr txBox="1"/>
      </xdr:nvSpPr>
      <xdr:spPr>
        <a:xfrm>
          <a:off x="7086600" y="60960"/>
          <a:ext cx="7078980" cy="67056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AU" sz="1200" b="1">
              <a:solidFill>
                <a:srgbClr val="C00000"/>
              </a:solidFill>
            </a:rPr>
            <a:t>This sheet compares a </a:t>
          </a:r>
          <a:r>
            <a:rPr lang="en-AU" sz="1200" b="1">
              <a:solidFill>
                <a:srgbClr val="C00000"/>
              </a:solidFill>
              <a:latin typeface="+mn-lt"/>
              <a:ea typeface="+mn-ea"/>
              <a:cs typeface="+mn-cs"/>
            </a:rPr>
            <a:t>bionergy option to the baseline.  See Section 5.3 of background technical report.</a:t>
          </a:r>
          <a:r>
            <a:rPr lang="en-AU" sz="1200" b="1" baseline="0">
              <a:solidFill>
                <a:srgbClr val="C00000"/>
              </a:solidFill>
              <a:latin typeface="+mn-lt"/>
              <a:ea typeface="+mn-ea"/>
              <a:cs typeface="+mn-cs"/>
            </a:rPr>
            <a:t> </a:t>
          </a:r>
          <a:r>
            <a:rPr lang="en-AU" sz="1200" b="1">
              <a:solidFill>
                <a:srgbClr val="C00000"/>
              </a:solidFill>
              <a:latin typeface="+mn-lt"/>
              <a:ea typeface="+mn-ea"/>
              <a:cs typeface="+mn-cs"/>
            </a:rPr>
            <a:t>The analysis considers input costs, O&amp;M costs and amortisation of capital. </a:t>
          </a:r>
          <a:r>
            <a:rPr lang="en-AU" sz="1200" b="1" baseline="0">
              <a:solidFill>
                <a:srgbClr val="C00000"/>
              </a:solidFill>
              <a:latin typeface="+mn-lt"/>
              <a:ea typeface="+mn-ea"/>
              <a:cs typeface="+mn-cs"/>
            </a:rPr>
            <a:t>This analysis is for general information only, it should not be used for investment decisions.</a:t>
          </a:r>
        </a:p>
        <a:p>
          <a:pPr algn="l"/>
          <a:endParaRPr lang="en-AU" sz="1200" b="1">
            <a:solidFill>
              <a:srgbClr val="C00000"/>
            </a:solidFill>
            <a:latin typeface="+mn-lt"/>
            <a:ea typeface="+mn-ea"/>
            <a:cs typeface="+mn-cs"/>
          </a:endParaRPr>
        </a:p>
      </xdr:txBody>
    </xdr:sp>
    <xdr:clientData/>
  </xdr:twoCellAnchor>
  <xdr:twoCellAnchor>
    <xdr:from>
      <xdr:col>0</xdr:col>
      <xdr:colOff>1539240</xdr:colOff>
      <xdr:row>24</xdr:row>
      <xdr:rowOff>76200</xdr:rowOff>
    </xdr:from>
    <xdr:to>
      <xdr:col>6</xdr:col>
      <xdr:colOff>3276</xdr:colOff>
      <xdr:row>43</xdr:row>
      <xdr:rowOff>170638</xdr:rowOff>
    </xdr:to>
    <xdr:grpSp>
      <xdr:nvGrpSpPr>
        <xdr:cNvPr id="12" name="Group 11"/>
        <xdr:cNvGrpSpPr/>
      </xdr:nvGrpSpPr>
      <xdr:grpSpPr>
        <a:xfrm>
          <a:off x="1539240" y="7205133"/>
          <a:ext cx="7142369" cy="3633505"/>
          <a:chOff x="6827520" y="8313420"/>
          <a:chExt cx="7143216" cy="3645358"/>
        </a:xfrm>
      </xdr:grpSpPr>
      <xdr:pic>
        <xdr:nvPicPr>
          <xdr:cNvPr id="4" name="Picture 3"/>
          <xdr:cNvPicPr>
            <a:picLocks noChangeAspect="1"/>
          </xdr:cNvPicPr>
        </xdr:nvPicPr>
        <xdr:blipFill>
          <a:blip xmlns:r="http://schemas.openxmlformats.org/officeDocument/2006/relationships" r:embed="rId1"/>
          <a:stretch>
            <a:fillRect/>
          </a:stretch>
        </xdr:blipFill>
        <xdr:spPr>
          <a:xfrm>
            <a:off x="6827520" y="8313420"/>
            <a:ext cx="7143216" cy="3645358"/>
          </a:xfrm>
          <a:prstGeom prst="rect">
            <a:avLst/>
          </a:prstGeom>
        </xdr:spPr>
      </xdr:pic>
      <xdr:sp macro="" textlink="">
        <xdr:nvSpPr>
          <xdr:cNvPr id="10" name="TextBox 9"/>
          <xdr:cNvSpPr txBox="1"/>
        </xdr:nvSpPr>
        <xdr:spPr>
          <a:xfrm>
            <a:off x="9784080" y="8488680"/>
            <a:ext cx="2103120" cy="4876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100"/>
              <a:t>The Bioenergy</a:t>
            </a:r>
            <a:r>
              <a:rPr lang="en-AU" sz="1100" baseline="0"/>
              <a:t> Capex estimator is based on the curves in this graph</a:t>
            </a:r>
            <a:endParaRPr lang="en-AU" sz="1100"/>
          </a:p>
        </xdr:txBody>
      </xdr:sp>
    </xdr:grpSp>
    <xdr:clientData/>
  </xdr:twoCellAnchor>
  <xdr:twoCellAnchor>
    <xdr:from>
      <xdr:col>0</xdr:col>
      <xdr:colOff>160020</xdr:colOff>
      <xdr:row>0</xdr:row>
      <xdr:rowOff>144780</xdr:rowOff>
    </xdr:from>
    <xdr:to>
      <xdr:col>4</xdr:col>
      <xdr:colOff>2430780</xdr:colOff>
      <xdr:row>0</xdr:row>
      <xdr:rowOff>632460</xdr:rowOff>
    </xdr:to>
    <xdr:grpSp>
      <xdr:nvGrpSpPr>
        <xdr:cNvPr id="14" name="Group 13"/>
        <xdr:cNvGrpSpPr/>
      </xdr:nvGrpSpPr>
      <xdr:grpSpPr>
        <a:xfrm>
          <a:off x="160020" y="144780"/>
          <a:ext cx="6741160" cy="487680"/>
          <a:chOff x="12481560" y="5394960"/>
          <a:chExt cx="6743700" cy="487680"/>
        </a:xfrm>
      </xdr:grpSpPr>
      <xdr:sp macro="" textlink="">
        <xdr:nvSpPr>
          <xdr:cNvPr id="15" name="TextBox 14"/>
          <xdr:cNvSpPr txBox="1"/>
        </xdr:nvSpPr>
        <xdr:spPr>
          <a:xfrm>
            <a:off x="12481560" y="5394960"/>
            <a:ext cx="6743700" cy="48768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200" b="1">
                <a:solidFill>
                  <a:srgbClr val="C00000"/>
                </a:solidFill>
              </a:rPr>
              <a:t>	Renewable energy options for Australian industrial</a:t>
            </a:r>
            <a:r>
              <a:rPr lang="en-AU" sz="1200" b="1" baseline="0">
                <a:solidFill>
                  <a:srgbClr val="C00000"/>
                </a:solidFill>
              </a:rPr>
              <a:t> gas users - economic screening tool    </a:t>
            </a:r>
          </a:p>
          <a:p>
            <a:r>
              <a:rPr lang="en-AU" sz="1200" b="1" baseline="0">
                <a:solidFill>
                  <a:srgbClr val="C00000"/>
                </a:solidFill>
              </a:rPr>
              <a:t>			</a:t>
            </a:r>
            <a:r>
              <a:rPr lang="en-AU" sz="1200" b="1">
                <a:solidFill>
                  <a:srgbClr val="C00000"/>
                </a:solidFill>
                <a:latin typeface="+mn-lt"/>
                <a:ea typeface="+mn-ea"/>
                <a:cs typeface="+mn-cs"/>
              </a:rPr>
              <a:t>www.itpau.com.au</a:t>
            </a:r>
          </a:p>
        </xdr:txBody>
      </xdr:sp>
      <xdr:pic>
        <xdr:nvPicPr>
          <xdr:cNvPr id="16" name="Picture 15"/>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1238" t="47657" r="67715" b="4687"/>
          <a:stretch/>
        </xdr:blipFill>
        <xdr:spPr>
          <a:xfrm>
            <a:off x="12626340" y="5463540"/>
            <a:ext cx="716280" cy="342900"/>
          </a:xfrm>
          <a:prstGeom prst="rect">
            <a:avLst/>
          </a:prstGeom>
          <a:extLst>
            <a:ext uri="{FAA26D3D-D897-4be2-8F04-BA451C77F1D7}">
              <ma14:placeholderFlag xmlns:wpc="http://schemas.microsoft.com/office/word/2010/wordprocessingCanvas" xmlns:mc="http://schemas.openxmlformats.org/markup-compatibility/2006" xmlns:r="http://schemas.openxmlformats.org/officeDocument/2006/relationships" xmlns:m="http://schemas.openxmlformats.org/officeDocument/2006/math" xmlns:wp14="http://schemas.microsoft.com/office/word/2010/wordprocessingDrawing" xmlns:wp="http://schemas.openxmlformats.org/drawingml/2006/wordprocessingDrawing" xmlns:w14="http://schemas.microsoft.com/office/word/2010/wordml" xmlns:wpg="http://schemas.microsoft.com/office/word/2010/wordprocessingGroup" xmlns:wpi="http://schemas.microsoft.com/office/word/2010/wordprocessingInk" xmlns:wne="http://schemas.microsoft.com/office/word/2006/wordml" xmlns:wps="http://schemas.microsoft.com/office/word/2010/wordprocessingShape" xmlns:pic="http://schemas.openxmlformats.org/drawingml/2006/picture" xmlns:w15="http://schemas.microsoft.com/office/word/2012/wordml" xmlns="" xmlns:mo="http://schemas.microsoft.com/office/mac/office/2008/main" xmlns:mv="urn:schemas-microsoft-com:mac:vml" xmlns:o="urn:schemas-microsoft-com:office:office" xmlns:v="urn:schemas-microsoft-com:vml" xmlns:w10="urn:schemas-microsoft-com:office:word" xmlns:w="http://schemas.openxmlformats.org/wordprocessingml/2006/main" xmlns:ma14="http://schemas.microsoft.com/office/mac/drawingml/2011/main" xmlns:lc="http://schemas.openxmlformats.org/drawingml/2006/lockedCanvas"/>
            </a:ext>
          </a:extLst>
        </xdr:spPr>
      </xdr:pic>
    </xdr:grp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114300</xdr:colOff>
      <xdr:row>0</xdr:row>
      <xdr:rowOff>91440</xdr:rowOff>
    </xdr:from>
    <xdr:to>
      <xdr:col>4</xdr:col>
      <xdr:colOff>2423160</xdr:colOff>
      <xdr:row>0</xdr:row>
      <xdr:rowOff>579120</xdr:rowOff>
    </xdr:to>
    <xdr:grpSp>
      <xdr:nvGrpSpPr>
        <xdr:cNvPr id="6" name="Group 5"/>
        <xdr:cNvGrpSpPr/>
      </xdr:nvGrpSpPr>
      <xdr:grpSpPr>
        <a:xfrm>
          <a:off x="114300" y="91440"/>
          <a:ext cx="6745393" cy="487680"/>
          <a:chOff x="12534900" y="5433060"/>
          <a:chExt cx="6743700" cy="487680"/>
        </a:xfrm>
      </xdr:grpSpPr>
      <xdr:sp macro="" textlink="">
        <xdr:nvSpPr>
          <xdr:cNvPr id="3" name="TextBox 2"/>
          <xdr:cNvSpPr txBox="1"/>
        </xdr:nvSpPr>
        <xdr:spPr>
          <a:xfrm>
            <a:off x="12534900" y="5433060"/>
            <a:ext cx="6743700" cy="48768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200" b="1">
                <a:solidFill>
                  <a:srgbClr val="C00000"/>
                </a:solidFill>
              </a:rPr>
              <a:t>	Renewable energy options for Australian industrial</a:t>
            </a:r>
            <a:r>
              <a:rPr lang="en-AU" sz="1200" b="1" baseline="0">
                <a:solidFill>
                  <a:srgbClr val="C00000"/>
                </a:solidFill>
              </a:rPr>
              <a:t> gas users - economic screening tool    </a:t>
            </a:r>
          </a:p>
          <a:p>
            <a:r>
              <a:rPr lang="en-AU" sz="1200" b="1" baseline="0">
                <a:solidFill>
                  <a:srgbClr val="C00000"/>
                </a:solidFill>
              </a:rPr>
              <a:t>			</a:t>
            </a:r>
            <a:r>
              <a:rPr lang="en-AU" sz="1200" b="1">
                <a:solidFill>
                  <a:srgbClr val="C00000"/>
                </a:solidFill>
                <a:latin typeface="+mn-lt"/>
                <a:ea typeface="+mn-ea"/>
                <a:cs typeface="+mn-cs"/>
              </a:rPr>
              <a:t>www.itpau.com.au</a:t>
            </a:r>
          </a:p>
        </xdr:txBody>
      </xdr:sp>
      <xdr:pic>
        <xdr:nvPicPr>
          <xdr:cNvPr id="4" name="Picture 3"/>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1238" t="47657" r="67715" b="4687"/>
          <a:stretch/>
        </xdr:blipFill>
        <xdr:spPr>
          <a:xfrm>
            <a:off x="12626340" y="5463540"/>
            <a:ext cx="716280" cy="342900"/>
          </a:xfrm>
          <a:prstGeom prst="rect">
            <a:avLst/>
          </a:prstGeom>
          <a:extLst>
            <a:ext uri="{FAA26D3D-D897-4be2-8F04-BA451C77F1D7}">
              <ma14:placeholderFlag xmlns:wpc="http://schemas.microsoft.com/office/word/2010/wordprocessingCanvas" xmlns:mc="http://schemas.openxmlformats.org/markup-compatibility/2006" xmlns:r="http://schemas.openxmlformats.org/officeDocument/2006/relationships" xmlns:m="http://schemas.openxmlformats.org/officeDocument/2006/math" xmlns:wp14="http://schemas.microsoft.com/office/word/2010/wordprocessingDrawing" xmlns:wp="http://schemas.openxmlformats.org/drawingml/2006/wordprocessingDrawing" xmlns:w14="http://schemas.microsoft.com/office/word/2010/wordml" xmlns:wpg="http://schemas.microsoft.com/office/word/2010/wordprocessingGroup" xmlns:wpi="http://schemas.microsoft.com/office/word/2010/wordprocessingInk" xmlns:wne="http://schemas.microsoft.com/office/word/2006/wordml" xmlns:wps="http://schemas.microsoft.com/office/word/2010/wordprocessingShape" xmlns:pic="http://schemas.openxmlformats.org/drawingml/2006/picture" xmlns:w15="http://schemas.microsoft.com/office/word/2012/wordml" xmlns="" xmlns:mo="http://schemas.microsoft.com/office/mac/office/2008/main" xmlns:mv="urn:schemas-microsoft-com:mac:vml" xmlns:o="urn:schemas-microsoft-com:office:office" xmlns:v="urn:schemas-microsoft-com:vml" xmlns:w10="urn:schemas-microsoft-com:office:word" xmlns:w="http://schemas.openxmlformats.org/wordprocessingml/2006/main" xmlns:ma14="http://schemas.microsoft.com/office/mac/drawingml/2011/main" xmlns:lc="http://schemas.openxmlformats.org/drawingml/2006/lockedCanvas"/>
            </a:ext>
          </a:extLst>
        </xdr:spPr>
      </xdr:pic>
    </xdr:grpSp>
    <xdr:clientData/>
  </xdr:twoCellAnchor>
  <xdr:twoCellAnchor editAs="oneCell">
    <xdr:from>
      <xdr:col>0</xdr:col>
      <xdr:colOff>400051</xdr:colOff>
      <xdr:row>31</xdr:row>
      <xdr:rowOff>9525</xdr:rowOff>
    </xdr:from>
    <xdr:to>
      <xdr:col>4</xdr:col>
      <xdr:colOff>4124326</xdr:colOff>
      <xdr:row>64</xdr:row>
      <xdr:rowOff>116839</xdr:rowOff>
    </xdr:to>
    <xdr:pic>
      <xdr:nvPicPr>
        <xdr:cNvPr id="11" name="Picture 1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00051" y="6349365"/>
          <a:ext cx="8159115" cy="597408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2484120</xdr:colOff>
      <xdr:row>0</xdr:row>
      <xdr:rowOff>0</xdr:rowOff>
    </xdr:from>
    <xdr:to>
      <xdr:col>9</xdr:col>
      <xdr:colOff>350520</xdr:colOff>
      <xdr:row>0</xdr:row>
      <xdr:rowOff>670560</xdr:rowOff>
    </xdr:to>
    <xdr:sp macro="" textlink="">
      <xdr:nvSpPr>
        <xdr:cNvPr id="12" name="TextBox 11"/>
        <xdr:cNvSpPr txBox="1"/>
      </xdr:nvSpPr>
      <xdr:spPr>
        <a:xfrm>
          <a:off x="6918960" y="0"/>
          <a:ext cx="7078980" cy="67056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AU" sz="1200" b="1">
              <a:solidFill>
                <a:srgbClr val="C00000"/>
              </a:solidFill>
            </a:rPr>
            <a:t>This sheet compares a </a:t>
          </a:r>
          <a:r>
            <a:rPr lang="en-AU" sz="1200" b="1">
              <a:solidFill>
                <a:srgbClr val="C00000"/>
              </a:solidFill>
              <a:latin typeface="+mn-lt"/>
              <a:ea typeface="+mn-ea"/>
              <a:cs typeface="+mn-cs"/>
            </a:rPr>
            <a:t>bionergy option to the baseline.  See Section 5.4 of background technical report.</a:t>
          </a:r>
          <a:r>
            <a:rPr lang="en-AU" sz="1200" b="1" baseline="0">
              <a:solidFill>
                <a:srgbClr val="C00000"/>
              </a:solidFill>
              <a:latin typeface="+mn-lt"/>
              <a:ea typeface="+mn-ea"/>
              <a:cs typeface="+mn-cs"/>
            </a:rPr>
            <a:t> </a:t>
          </a:r>
          <a:r>
            <a:rPr lang="en-AU" sz="1200" b="1">
              <a:solidFill>
                <a:srgbClr val="C00000"/>
              </a:solidFill>
              <a:latin typeface="+mn-lt"/>
              <a:ea typeface="+mn-ea"/>
              <a:cs typeface="+mn-cs"/>
            </a:rPr>
            <a:t>The analysis considers input costs, O&amp;M costs and amortisation of capital. </a:t>
          </a:r>
          <a:r>
            <a:rPr lang="en-AU" sz="1200" b="1" baseline="0">
              <a:solidFill>
                <a:srgbClr val="C00000"/>
              </a:solidFill>
              <a:latin typeface="+mn-lt"/>
              <a:ea typeface="+mn-ea"/>
              <a:cs typeface="+mn-cs"/>
            </a:rPr>
            <a:t>This analysis is for general information only, it should not be used for investment decisions.</a:t>
          </a:r>
        </a:p>
        <a:p>
          <a:pPr algn="l"/>
          <a:endParaRPr lang="en-AU" sz="1200" b="1">
            <a:solidFill>
              <a:srgbClr val="C00000"/>
            </a:solidFill>
            <a:latin typeface="+mn-lt"/>
            <a:ea typeface="+mn-ea"/>
            <a:cs typeface="+mn-cs"/>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68580</xdr:colOff>
      <xdr:row>0</xdr:row>
      <xdr:rowOff>198120</xdr:rowOff>
    </xdr:from>
    <xdr:to>
      <xdr:col>4</xdr:col>
      <xdr:colOff>2377440</xdr:colOff>
      <xdr:row>0</xdr:row>
      <xdr:rowOff>685800</xdr:rowOff>
    </xdr:to>
    <xdr:grpSp>
      <xdr:nvGrpSpPr>
        <xdr:cNvPr id="2" name="Group 1"/>
        <xdr:cNvGrpSpPr/>
      </xdr:nvGrpSpPr>
      <xdr:grpSpPr>
        <a:xfrm>
          <a:off x="68580" y="198120"/>
          <a:ext cx="6745393" cy="487680"/>
          <a:chOff x="12481560" y="5394960"/>
          <a:chExt cx="6743700" cy="487680"/>
        </a:xfrm>
      </xdr:grpSpPr>
      <xdr:sp macro="" textlink="">
        <xdr:nvSpPr>
          <xdr:cNvPr id="3" name="TextBox 2"/>
          <xdr:cNvSpPr txBox="1"/>
        </xdr:nvSpPr>
        <xdr:spPr>
          <a:xfrm>
            <a:off x="12481560" y="5394960"/>
            <a:ext cx="6743700" cy="48768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200" b="1">
                <a:solidFill>
                  <a:srgbClr val="C00000"/>
                </a:solidFill>
              </a:rPr>
              <a:t>	Renewable energy options for Australian industrial</a:t>
            </a:r>
            <a:r>
              <a:rPr lang="en-AU" sz="1200" b="1" baseline="0">
                <a:solidFill>
                  <a:srgbClr val="C00000"/>
                </a:solidFill>
              </a:rPr>
              <a:t> gas users - economic screening tool    </a:t>
            </a:r>
          </a:p>
          <a:p>
            <a:r>
              <a:rPr lang="en-AU" sz="1200" b="1" baseline="0">
                <a:solidFill>
                  <a:srgbClr val="C00000"/>
                </a:solidFill>
              </a:rPr>
              <a:t>			</a:t>
            </a:r>
            <a:r>
              <a:rPr lang="en-AU" sz="1200" b="1">
                <a:solidFill>
                  <a:srgbClr val="C00000"/>
                </a:solidFill>
                <a:latin typeface="+mn-lt"/>
                <a:ea typeface="+mn-ea"/>
                <a:cs typeface="+mn-cs"/>
              </a:rPr>
              <a:t>www.itpau.com.au</a:t>
            </a:r>
          </a:p>
        </xdr:txBody>
      </xdr:sp>
      <xdr:pic>
        <xdr:nvPicPr>
          <xdr:cNvPr id="4" name="Picture 3"/>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1238" t="47657" r="67715" b="4687"/>
          <a:stretch/>
        </xdr:blipFill>
        <xdr:spPr>
          <a:xfrm>
            <a:off x="12626340" y="5463540"/>
            <a:ext cx="716280" cy="342900"/>
          </a:xfrm>
          <a:prstGeom prst="rect">
            <a:avLst/>
          </a:prstGeom>
          <a:extLst>
            <a:ext uri="{FAA26D3D-D897-4be2-8F04-BA451C77F1D7}">
              <ma14:placeholderFlag xmlns:wpc="http://schemas.microsoft.com/office/word/2010/wordprocessingCanvas" xmlns:mc="http://schemas.openxmlformats.org/markup-compatibility/2006" xmlns:r="http://schemas.openxmlformats.org/officeDocument/2006/relationships" xmlns:m="http://schemas.openxmlformats.org/officeDocument/2006/math" xmlns:wp14="http://schemas.microsoft.com/office/word/2010/wordprocessingDrawing" xmlns:wp="http://schemas.openxmlformats.org/drawingml/2006/wordprocessingDrawing" xmlns:w14="http://schemas.microsoft.com/office/word/2010/wordml" xmlns:wpg="http://schemas.microsoft.com/office/word/2010/wordprocessingGroup" xmlns:wpi="http://schemas.microsoft.com/office/word/2010/wordprocessingInk" xmlns:wne="http://schemas.microsoft.com/office/word/2006/wordml" xmlns:wps="http://schemas.microsoft.com/office/word/2010/wordprocessingShape" xmlns:pic="http://schemas.openxmlformats.org/drawingml/2006/picture" xmlns:w15="http://schemas.microsoft.com/office/word/2012/wordml" xmlns="" xmlns:mo="http://schemas.microsoft.com/office/mac/office/2008/main" xmlns:mv="urn:schemas-microsoft-com:mac:vml" xmlns:o="urn:schemas-microsoft-com:office:office" xmlns:v="urn:schemas-microsoft-com:vml" xmlns:w10="urn:schemas-microsoft-com:office:word" xmlns:w="http://schemas.openxmlformats.org/wordprocessingml/2006/main" xmlns:ma14="http://schemas.microsoft.com/office/mac/drawingml/2011/main" xmlns:lc="http://schemas.openxmlformats.org/drawingml/2006/lockedCanvas"/>
            </a:ext>
          </a:extLst>
        </xdr:spPr>
      </xdr:pic>
    </xdr:grpSp>
    <xdr:clientData/>
  </xdr:twoCellAnchor>
  <xdr:twoCellAnchor>
    <xdr:from>
      <xdr:col>4</xdr:col>
      <xdr:colOff>2476500</xdr:colOff>
      <xdr:row>0</xdr:row>
      <xdr:rowOff>83820</xdr:rowOff>
    </xdr:from>
    <xdr:to>
      <xdr:col>9</xdr:col>
      <xdr:colOff>449580</xdr:colOff>
      <xdr:row>0</xdr:row>
      <xdr:rowOff>754380</xdr:rowOff>
    </xdr:to>
    <xdr:sp macro="" textlink="">
      <xdr:nvSpPr>
        <xdr:cNvPr id="8" name="TextBox 7"/>
        <xdr:cNvSpPr txBox="1"/>
      </xdr:nvSpPr>
      <xdr:spPr>
        <a:xfrm>
          <a:off x="6911340" y="83820"/>
          <a:ext cx="7269480" cy="67056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AU" sz="1200" b="1">
              <a:solidFill>
                <a:srgbClr val="C00000"/>
              </a:solidFill>
            </a:rPr>
            <a:t>This sheet compares a </a:t>
          </a:r>
          <a:r>
            <a:rPr lang="en-AU" sz="1200" b="1">
              <a:solidFill>
                <a:srgbClr val="C00000"/>
              </a:solidFill>
              <a:latin typeface="+mn-lt"/>
              <a:ea typeface="+mn-ea"/>
              <a:cs typeface="+mn-cs"/>
            </a:rPr>
            <a:t>bionergy option to the baseline.  See Section 5.6 of background technical report.</a:t>
          </a:r>
          <a:r>
            <a:rPr lang="en-AU" sz="1200" b="1" baseline="0">
              <a:solidFill>
                <a:srgbClr val="C00000"/>
              </a:solidFill>
              <a:latin typeface="+mn-lt"/>
              <a:ea typeface="+mn-ea"/>
              <a:cs typeface="+mn-cs"/>
            </a:rPr>
            <a:t> </a:t>
          </a:r>
          <a:r>
            <a:rPr lang="en-AU" sz="1200" b="1">
              <a:solidFill>
                <a:srgbClr val="C00000"/>
              </a:solidFill>
              <a:latin typeface="+mn-lt"/>
              <a:ea typeface="+mn-ea"/>
              <a:cs typeface="+mn-cs"/>
            </a:rPr>
            <a:t>The analysis considers input costs, O&amp;M costs and amortisation of capital. </a:t>
          </a:r>
          <a:r>
            <a:rPr lang="en-AU" sz="1200" b="1" baseline="0">
              <a:solidFill>
                <a:srgbClr val="C00000"/>
              </a:solidFill>
              <a:latin typeface="+mn-lt"/>
              <a:ea typeface="+mn-ea"/>
              <a:cs typeface="+mn-cs"/>
            </a:rPr>
            <a:t>This analysis is for general information only, it should not be used for investment decisions.</a:t>
          </a:r>
        </a:p>
        <a:p>
          <a:pPr algn="l"/>
          <a:endParaRPr lang="en-AU" sz="1200" b="1">
            <a:solidFill>
              <a:srgbClr val="C00000"/>
            </a:solidFill>
            <a:latin typeface="+mn-lt"/>
            <a:ea typeface="+mn-ea"/>
            <a:cs typeface="+mn-cs"/>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68580</xdr:colOff>
      <xdr:row>0</xdr:row>
      <xdr:rowOff>182880</xdr:rowOff>
    </xdr:from>
    <xdr:to>
      <xdr:col>4</xdr:col>
      <xdr:colOff>2377440</xdr:colOff>
      <xdr:row>0</xdr:row>
      <xdr:rowOff>670560</xdr:rowOff>
    </xdr:to>
    <xdr:grpSp>
      <xdr:nvGrpSpPr>
        <xdr:cNvPr id="2" name="Group 1"/>
        <xdr:cNvGrpSpPr/>
      </xdr:nvGrpSpPr>
      <xdr:grpSpPr>
        <a:xfrm>
          <a:off x="68580" y="182880"/>
          <a:ext cx="6779260" cy="487680"/>
          <a:chOff x="12481560" y="5394960"/>
          <a:chExt cx="6743700" cy="487680"/>
        </a:xfrm>
      </xdr:grpSpPr>
      <xdr:sp macro="" textlink="">
        <xdr:nvSpPr>
          <xdr:cNvPr id="3" name="TextBox 2"/>
          <xdr:cNvSpPr txBox="1"/>
        </xdr:nvSpPr>
        <xdr:spPr>
          <a:xfrm>
            <a:off x="12481560" y="5394960"/>
            <a:ext cx="6743700" cy="48768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200" b="1">
                <a:solidFill>
                  <a:srgbClr val="C00000"/>
                </a:solidFill>
              </a:rPr>
              <a:t>	Renewable energy options for Australian industrial</a:t>
            </a:r>
            <a:r>
              <a:rPr lang="en-AU" sz="1200" b="1" baseline="0">
                <a:solidFill>
                  <a:srgbClr val="C00000"/>
                </a:solidFill>
              </a:rPr>
              <a:t> gas users - economic screening tool    </a:t>
            </a:r>
          </a:p>
          <a:p>
            <a:r>
              <a:rPr lang="en-AU" sz="1200" b="1" baseline="0">
                <a:solidFill>
                  <a:srgbClr val="C00000"/>
                </a:solidFill>
              </a:rPr>
              <a:t>			</a:t>
            </a:r>
            <a:r>
              <a:rPr lang="en-AU" sz="1200" b="1">
                <a:solidFill>
                  <a:srgbClr val="C00000"/>
                </a:solidFill>
                <a:latin typeface="+mn-lt"/>
                <a:ea typeface="+mn-ea"/>
                <a:cs typeface="+mn-cs"/>
              </a:rPr>
              <a:t>www.itpau.com.au</a:t>
            </a:r>
          </a:p>
        </xdr:txBody>
      </xdr:sp>
      <xdr:pic>
        <xdr:nvPicPr>
          <xdr:cNvPr id="4" name="Picture 3"/>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1238" t="47657" r="67715" b="4687"/>
          <a:stretch/>
        </xdr:blipFill>
        <xdr:spPr>
          <a:xfrm>
            <a:off x="12626340" y="5463540"/>
            <a:ext cx="716280" cy="342900"/>
          </a:xfrm>
          <a:prstGeom prst="rect">
            <a:avLst/>
          </a:prstGeom>
          <a:extLst>
            <a:ext uri="{FAA26D3D-D897-4be2-8F04-BA451C77F1D7}">
              <ma14:placeholderFlag xmlns:wpc="http://schemas.microsoft.com/office/word/2010/wordprocessingCanvas" xmlns:mc="http://schemas.openxmlformats.org/markup-compatibility/2006" xmlns:r="http://schemas.openxmlformats.org/officeDocument/2006/relationships" xmlns:m="http://schemas.openxmlformats.org/officeDocument/2006/math" xmlns:wp14="http://schemas.microsoft.com/office/word/2010/wordprocessingDrawing" xmlns:wp="http://schemas.openxmlformats.org/drawingml/2006/wordprocessingDrawing" xmlns:w14="http://schemas.microsoft.com/office/word/2010/wordml" xmlns:wpg="http://schemas.microsoft.com/office/word/2010/wordprocessingGroup" xmlns:wpi="http://schemas.microsoft.com/office/word/2010/wordprocessingInk" xmlns:wne="http://schemas.microsoft.com/office/word/2006/wordml" xmlns:wps="http://schemas.microsoft.com/office/word/2010/wordprocessingShape" xmlns:pic="http://schemas.openxmlformats.org/drawingml/2006/picture" xmlns:w15="http://schemas.microsoft.com/office/word/2012/wordml" xmlns="" xmlns:mo="http://schemas.microsoft.com/office/mac/office/2008/main" xmlns:mv="urn:schemas-microsoft-com:mac:vml" xmlns:o="urn:schemas-microsoft-com:office:office" xmlns:v="urn:schemas-microsoft-com:vml" xmlns:w10="urn:schemas-microsoft-com:office:word" xmlns:w="http://schemas.openxmlformats.org/wordprocessingml/2006/main" xmlns:ma14="http://schemas.microsoft.com/office/mac/drawingml/2011/main" xmlns:lc="http://schemas.openxmlformats.org/drawingml/2006/lockedCanvas"/>
            </a:ext>
          </a:extLst>
        </xdr:spPr>
      </xdr:pic>
    </xdr:grpSp>
    <xdr:clientData/>
  </xdr:twoCellAnchor>
  <xdr:twoCellAnchor>
    <xdr:from>
      <xdr:col>4</xdr:col>
      <xdr:colOff>2476500</xdr:colOff>
      <xdr:row>0</xdr:row>
      <xdr:rowOff>68580</xdr:rowOff>
    </xdr:from>
    <xdr:to>
      <xdr:col>9</xdr:col>
      <xdr:colOff>449580</xdr:colOff>
      <xdr:row>0</xdr:row>
      <xdr:rowOff>739140</xdr:rowOff>
    </xdr:to>
    <xdr:sp macro="" textlink="">
      <xdr:nvSpPr>
        <xdr:cNvPr id="8" name="TextBox 7"/>
        <xdr:cNvSpPr txBox="1"/>
      </xdr:nvSpPr>
      <xdr:spPr>
        <a:xfrm>
          <a:off x="6949440" y="68580"/>
          <a:ext cx="7269480" cy="67056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AU" sz="1200" b="1">
              <a:solidFill>
                <a:srgbClr val="C00000"/>
              </a:solidFill>
            </a:rPr>
            <a:t>This sheet compares a </a:t>
          </a:r>
          <a:r>
            <a:rPr lang="en-AU" sz="1200" b="1">
              <a:solidFill>
                <a:srgbClr val="C00000"/>
              </a:solidFill>
              <a:latin typeface="+mn-lt"/>
              <a:ea typeface="+mn-ea"/>
              <a:cs typeface="+mn-cs"/>
            </a:rPr>
            <a:t>bionergy option to the baseline.  See Section 5.5 of background technical report.</a:t>
          </a:r>
          <a:r>
            <a:rPr lang="en-AU" sz="1200" b="1" baseline="0">
              <a:solidFill>
                <a:srgbClr val="C00000"/>
              </a:solidFill>
              <a:latin typeface="+mn-lt"/>
              <a:ea typeface="+mn-ea"/>
              <a:cs typeface="+mn-cs"/>
            </a:rPr>
            <a:t> </a:t>
          </a:r>
          <a:r>
            <a:rPr lang="en-AU" sz="1200" b="1">
              <a:solidFill>
                <a:srgbClr val="C00000"/>
              </a:solidFill>
              <a:latin typeface="+mn-lt"/>
              <a:ea typeface="+mn-ea"/>
              <a:cs typeface="+mn-cs"/>
            </a:rPr>
            <a:t>The analysis considers input costs, O&amp;M costs and amortisation of capital. </a:t>
          </a:r>
          <a:r>
            <a:rPr lang="en-AU" sz="1200" b="1" baseline="0">
              <a:solidFill>
                <a:srgbClr val="C00000"/>
              </a:solidFill>
              <a:latin typeface="+mn-lt"/>
              <a:ea typeface="+mn-ea"/>
              <a:cs typeface="+mn-cs"/>
            </a:rPr>
            <a:t>This analysis is for general information only, it should not be used for investment decisions.</a:t>
          </a:r>
        </a:p>
        <a:p>
          <a:pPr algn="l"/>
          <a:endParaRPr lang="en-AU" sz="1200" b="1">
            <a:solidFill>
              <a:srgbClr val="C00000"/>
            </a:solidFill>
            <a:latin typeface="+mn-lt"/>
            <a:ea typeface="+mn-ea"/>
            <a:cs typeface="+mn-cs"/>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68580</xdr:colOff>
      <xdr:row>0</xdr:row>
      <xdr:rowOff>167640</xdr:rowOff>
    </xdr:from>
    <xdr:to>
      <xdr:col>4</xdr:col>
      <xdr:colOff>2339340</xdr:colOff>
      <xdr:row>0</xdr:row>
      <xdr:rowOff>655320</xdr:rowOff>
    </xdr:to>
    <xdr:grpSp>
      <xdr:nvGrpSpPr>
        <xdr:cNvPr id="5" name="Group 4"/>
        <xdr:cNvGrpSpPr/>
      </xdr:nvGrpSpPr>
      <xdr:grpSpPr>
        <a:xfrm>
          <a:off x="68580" y="167640"/>
          <a:ext cx="6741160" cy="487680"/>
          <a:chOff x="8488680" y="5532120"/>
          <a:chExt cx="6743700" cy="487680"/>
        </a:xfrm>
      </xdr:grpSpPr>
      <xdr:sp macro="" textlink="">
        <xdr:nvSpPr>
          <xdr:cNvPr id="2" name="TextBox 1"/>
          <xdr:cNvSpPr txBox="1"/>
        </xdr:nvSpPr>
        <xdr:spPr>
          <a:xfrm>
            <a:off x="8488680" y="5532120"/>
            <a:ext cx="6743700" cy="48768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200" b="1">
                <a:solidFill>
                  <a:srgbClr val="C00000"/>
                </a:solidFill>
              </a:rPr>
              <a:t>	Renewable energy options for Australian industrial</a:t>
            </a:r>
            <a:r>
              <a:rPr lang="en-AU" sz="1200" b="1" baseline="0">
                <a:solidFill>
                  <a:srgbClr val="C00000"/>
                </a:solidFill>
              </a:rPr>
              <a:t> gas users - economic screening tool    </a:t>
            </a:r>
          </a:p>
          <a:p>
            <a:r>
              <a:rPr lang="en-AU" sz="1200" b="1" baseline="0">
                <a:solidFill>
                  <a:srgbClr val="C00000"/>
                </a:solidFill>
              </a:rPr>
              <a:t>			</a:t>
            </a:r>
            <a:r>
              <a:rPr lang="en-AU" sz="1200" b="1">
                <a:solidFill>
                  <a:srgbClr val="C00000"/>
                </a:solidFill>
                <a:latin typeface="+mn-lt"/>
                <a:ea typeface="+mn-ea"/>
                <a:cs typeface="+mn-cs"/>
              </a:rPr>
              <a:t>www.itpau.com.au</a:t>
            </a:r>
          </a:p>
        </xdr:txBody>
      </xdr:sp>
      <xdr:pic>
        <xdr:nvPicPr>
          <xdr:cNvPr id="3" name="Picture 2"/>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1238" t="47657" r="67715" b="4687"/>
          <a:stretch/>
        </xdr:blipFill>
        <xdr:spPr>
          <a:xfrm>
            <a:off x="8633460" y="5593080"/>
            <a:ext cx="716280" cy="342900"/>
          </a:xfrm>
          <a:prstGeom prst="rect">
            <a:avLst/>
          </a:prstGeom>
          <a:extLst>
            <a:ext uri="{FAA26D3D-D897-4be2-8F04-BA451C77F1D7}">
              <ma14:placeholderFlag xmlns:wpc="http://schemas.microsoft.com/office/word/2010/wordprocessingCanvas" xmlns:mc="http://schemas.openxmlformats.org/markup-compatibility/2006" xmlns:r="http://schemas.openxmlformats.org/officeDocument/2006/relationships" xmlns:m="http://schemas.openxmlformats.org/officeDocument/2006/math" xmlns:wp14="http://schemas.microsoft.com/office/word/2010/wordprocessingDrawing" xmlns:wp="http://schemas.openxmlformats.org/drawingml/2006/wordprocessingDrawing" xmlns:w14="http://schemas.microsoft.com/office/word/2010/wordml" xmlns:wpg="http://schemas.microsoft.com/office/word/2010/wordprocessingGroup" xmlns:wpi="http://schemas.microsoft.com/office/word/2010/wordprocessingInk" xmlns:wne="http://schemas.microsoft.com/office/word/2006/wordml" xmlns:wps="http://schemas.microsoft.com/office/word/2010/wordprocessingShape" xmlns:pic="http://schemas.openxmlformats.org/drawingml/2006/picture" xmlns:w15="http://schemas.microsoft.com/office/word/2012/wordml" xmlns="" xmlns:mo="http://schemas.microsoft.com/office/mac/office/2008/main" xmlns:mv="urn:schemas-microsoft-com:mac:vml" xmlns:o="urn:schemas-microsoft-com:office:office" xmlns:v="urn:schemas-microsoft-com:vml" xmlns:w10="urn:schemas-microsoft-com:office:word" xmlns:w="http://schemas.openxmlformats.org/wordprocessingml/2006/main" xmlns:ma14="http://schemas.microsoft.com/office/mac/drawingml/2011/main" xmlns:lc="http://schemas.openxmlformats.org/drawingml/2006/lockedCanvas"/>
            </a:ext>
          </a:extLst>
        </xdr:spPr>
      </xdr:pic>
    </xdr:grpSp>
    <xdr:clientData/>
  </xdr:twoCellAnchor>
  <xdr:twoCellAnchor>
    <xdr:from>
      <xdr:col>4</xdr:col>
      <xdr:colOff>2461260</xdr:colOff>
      <xdr:row>0</xdr:row>
      <xdr:rowOff>60960</xdr:rowOff>
    </xdr:from>
    <xdr:to>
      <xdr:col>10</xdr:col>
      <xdr:colOff>281940</xdr:colOff>
      <xdr:row>0</xdr:row>
      <xdr:rowOff>731520</xdr:rowOff>
    </xdr:to>
    <xdr:sp macro="" textlink="">
      <xdr:nvSpPr>
        <xdr:cNvPr id="12" name="TextBox 11"/>
        <xdr:cNvSpPr txBox="1"/>
      </xdr:nvSpPr>
      <xdr:spPr>
        <a:xfrm>
          <a:off x="6934200" y="60960"/>
          <a:ext cx="7269480" cy="67056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AU" sz="1200" b="1">
              <a:solidFill>
                <a:srgbClr val="C00000"/>
              </a:solidFill>
            </a:rPr>
            <a:t>This sheet compares a </a:t>
          </a:r>
          <a:r>
            <a:rPr lang="en-AU" sz="1200" b="1">
              <a:solidFill>
                <a:srgbClr val="C00000"/>
              </a:solidFill>
              <a:latin typeface="+mn-lt"/>
              <a:ea typeface="+mn-ea"/>
              <a:cs typeface="+mn-cs"/>
            </a:rPr>
            <a:t>bionergy option to the baseline.  The analysis considers input costs, O&amp;M costs and amortisation of capital. </a:t>
          </a:r>
          <a:r>
            <a:rPr lang="en-AU" sz="1200" b="1" baseline="0">
              <a:solidFill>
                <a:srgbClr val="C00000"/>
              </a:solidFill>
              <a:latin typeface="+mn-lt"/>
              <a:ea typeface="+mn-ea"/>
              <a:cs typeface="+mn-cs"/>
            </a:rPr>
            <a:t>This analysis is for general information only, it should not be used for investment decisions.</a:t>
          </a:r>
        </a:p>
        <a:p>
          <a:pPr algn="l"/>
          <a:endParaRPr lang="en-AU" sz="1200" b="1">
            <a:solidFill>
              <a:srgbClr val="C00000"/>
            </a:solidFill>
            <a:latin typeface="+mn-lt"/>
            <a:ea typeface="+mn-ea"/>
            <a:cs typeface="+mn-cs"/>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167640</xdr:colOff>
      <xdr:row>0</xdr:row>
      <xdr:rowOff>647700</xdr:rowOff>
    </xdr:from>
    <xdr:to>
      <xdr:col>8</xdr:col>
      <xdr:colOff>601980</xdr:colOff>
      <xdr:row>3</xdr:row>
      <xdr:rowOff>144780</xdr:rowOff>
    </xdr:to>
    <xdr:sp macro="" textlink="">
      <xdr:nvSpPr>
        <xdr:cNvPr id="16" name="TextBox 15"/>
        <xdr:cNvSpPr txBox="1"/>
      </xdr:nvSpPr>
      <xdr:spPr>
        <a:xfrm>
          <a:off x="3985260" y="647700"/>
          <a:ext cx="4876800" cy="69342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l"/>
          <a:r>
            <a:rPr lang="en-AU" sz="1200" b="1">
              <a:solidFill>
                <a:srgbClr val="C00000"/>
              </a:solidFill>
            </a:rPr>
            <a:t>This sheet brings</a:t>
          </a:r>
          <a:r>
            <a:rPr lang="en-AU" sz="1200" b="1" baseline="0">
              <a:solidFill>
                <a:srgbClr val="C00000"/>
              </a:solidFill>
            </a:rPr>
            <a:t> the results from other sheets together for comparison. There are no inputs to this sheets.</a:t>
          </a:r>
          <a:r>
            <a:rPr lang="en-AU" sz="1200" b="1">
              <a:solidFill>
                <a:srgbClr val="C00000"/>
              </a:solidFill>
            </a:rPr>
            <a:t>  </a:t>
          </a:r>
          <a:r>
            <a:rPr lang="en-AU" sz="1200" b="1" baseline="0">
              <a:solidFill>
                <a:srgbClr val="C00000"/>
              </a:solidFill>
            </a:rPr>
            <a:t>This analysis is for general information only, it should not be used for investment decisions.</a:t>
          </a:r>
        </a:p>
        <a:p>
          <a:pPr algn="l"/>
          <a:endParaRPr lang="en-AU" sz="1200" b="1">
            <a:solidFill>
              <a:srgbClr val="C00000"/>
            </a:solidFill>
            <a:latin typeface="+mn-lt"/>
            <a:ea typeface="+mn-ea"/>
            <a:cs typeface="+mn-cs"/>
          </a:endParaRPr>
        </a:p>
      </xdr:txBody>
    </xdr:sp>
    <xdr:clientData/>
  </xdr:twoCellAnchor>
  <xdr:twoCellAnchor>
    <xdr:from>
      <xdr:col>0</xdr:col>
      <xdr:colOff>22860</xdr:colOff>
      <xdr:row>0</xdr:row>
      <xdr:rowOff>129540</xdr:rowOff>
    </xdr:from>
    <xdr:to>
      <xdr:col>6</xdr:col>
      <xdr:colOff>7620</xdr:colOff>
      <xdr:row>0</xdr:row>
      <xdr:rowOff>617220</xdr:rowOff>
    </xdr:to>
    <xdr:grpSp>
      <xdr:nvGrpSpPr>
        <xdr:cNvPr id="17" name="Group 16"/>
        <xdr:cNvGrpSpPr/>
      </xdr:nvGrpSpPr>
      <xdr:grpSpPr>
        <a:xfrm>
          <a:off x="22860" y="129540"/>
          <a:ext cx="6885093" cy="487680"/>
          <a:chOff x="4876800" y="4907280"/>
          <a:chExt cx="6743700" cy="487680"/>
        </a:xfrm>
      </xdr:grpSpPr>
      <xdr:sp macro="" textlink="">
        <xdr:nvSpPr>
          <xdr:cNvPr id="18" name="TextBox 17"/>
          <xdr:cNvSpPr txBox="1"/>
        </xdr:nvSpPr>
        <xdr:spPr>
          <a:xfrm>
            <a:off x="4876800" y="4907280"/>
            <a:ext cx="6743700" cy="487680"/>
          </a:xfrm>
          <a:prstGeom prst="rect">
            <a:avLst/>
          </a:prstGeom>
          <a:solidFill>
            <a:schemeClr val="lt1"/>
          </a:solidFill>
          <a:ln w="9525" cmpd="sng">
            <a:solidFill>
              <a:srgbClr val="C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200" b="1">
                <a:solidFill>
                  <a:srgbClr val="C00000"/>
                </a:solidFill>
              </a:rPr>
              <a:t>	Renewable energy options for Australian industrial</a:t>
            </a:r>
            <a:r>
              <a:rPr lang="en-AU" sz="1200" b="1" baseline="0">
                <a:solidFill>
                  <a:srgbClr val="C00000"/>
                </a:solidFill>
              </a:rPr>
              <a:t> gas users - economic screening tool    </a:t>
            </a:r>
          </a:p>
          <a:p>
            <a:r>
              <a:rPr lang="en-AU" sz="1200" b="1" baseline="0">
                <a:solidFill>
                  <a:srgbClr val="C00000"/>
                </a:solidFill>
              </a:rPr>
              <a:t>			</a:t>
            </a:r>
            <a:r>
              <a:rPr lang="en-AU" sz="1200" b="1">
                <a:solidFill>
                  <a:srgbClr val="C00000"/>
                </a:solidFill>
                <a:latin typeface="+mn-lt"/>
                <a:ea typeface="+mn-ea"/>
                <a:cs typeface="+mn-cs"/>
              </a:rPr>
              <a:t>www.itpau.com.au</a:t>
            </a:r>
          </a:p>
        </xdr:txBody>
      </xdr:sp>
      <xdr:pic>
        <xdr:nvPicPr>
          <xdr:cNvPr id="19" name="Picture 18"/>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1238" t="47657" r="67715" b="4687"/>
          <a:stretch/>
        </xdr:blipFill>
        <xdr:spPr>
          <a:xfrm>
            <a:off x="4975860" y="4975860"/>
            <a:ext cx="716280" cy="342900"/>
          </a:xfrm>
          <a:prstGeom prst="rect">
            <a:avLst/>
          </a:prstGeom>
          <a:extLst>
            <a:ext uri="{FAA26D3D-D897-4be2-8F04-BA451C77F1D7}">
              <ma14:placeholderFlag xmlns:wpc="http://schemas.microsoft.com/office/word/2010/wordprocessingCanvas" xmlns:mc="http://schemas.openxmlformats.org/markup-compatibility/2006" xmlns:r="http://schemas.openxmlformats.org/officeDocument/2006/relationships" xmlns:m="http://schemas.openxmlformats.org/officeDocument/2006/math" xmlns:wp14="http://schemas.microsoft.com/office/word/2010/wordprocessingDrawing" xmlns:wp="http://schemas.openxmlformats.org/drawingml/2006/wordprocessingDrawing" xmlns:w14="http://schemas.microsoft.com/office/word/2010/wordml" xmlns:wpg="http://schemas.microsoft.com/office/word/2010/wordprocessingGroup" xmlns:wpi="http://schemas.microsoft.com/office/word/2010/wordprocessingInk" xmlns:wne="http://schemas.microsoft.com/office/word/2006/wordml" xmlns:wps="http://schemas.microsoft.com/office/word/2010/wordprocessingShape" xmlns:pic="http://schemas.openxmlformats.org/drawingml/2006/picture" xmlns:w15="http://schemas.microsoft.com/office/word/2012/wordml" xmlns="" xmlns:mo="http://schemas.microsoft.com/office/mac/office/2008/main" xmlns:mv="urn:schemas-microsoft-com:mac:vml" xmlns:o="urn:schemas-microsoft-com:office:office" xmlns:v="urn:schemas-microsoft-com:vml" xmlns:w10="urn:schemas-microsoft-com:office:word" xmlns:w="http://schemas.openxmlformats.org/wordprocessingml/2006/main" xmlns:ma14="http://schemas.microsoft.com/office/mac/drawingml/2011/main" xmlns:lc="http://schemas.openxmlformats.org/drawingml/2006/lockedCanvas"/>
            </a:ext>
          </a:extLst>
        </xdr:spPr>
      </xdr:pic>
    </xdr:grpSp>
    <xdr:clientData/>
  </xdr:twoCellAnchor>
  <xdr:twoCellAnchor>
    <xdr:from>
      <xdr:col>10</xdr:col>
      <xdr:colOff>0</xdr:colOff>
      <xdr:row>1</xdr:row>
      <xdr:rowOff>7620</xdr:rowOff>
    </xdr:from>
    <xdr:to>
      <xdr:col>14</xdr:col>
      <xdr:colOff>510540</xdr:colOff>
      <xdr:row>10</xdr:row>
      <xdr:rowOff>160020</xdr:rowOff>
    </xdr:to>
    <xdr:graphicFrame macro="">
      <xdr:nvGraphicFramePr>
        <xdr:cNvPr id="20" name="Chart 1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14</xdr:col>
      <xdr:colOff>495301</xdr:colOff>
      <xdr:row>1</xdr:row>
      <xdr:rowOff>0</xdr:rowOff>
    </xdr:from>
    <xdr:to>
      <xdr:col>19</xdr:col>
      <xdr:colOff>586741</xdr:colOff>
      <xdr:row>10</xdr:row>
      <xdr:rowOff>144780</xdr:rowOff>
    </xdr:to>
    <xdr:graphicFrame macro="">
      <xdr:nvGraphicFramePr>
        <xdr:cNvPr id="21" name="Chart 2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19</xdr:col>
      <xdr:colOff>565785</xdr:colOff>
      <xdr:row>1</xdr:row>
      <xdr:rowOff>15240</xdr:rowOff>
    </xdr:from>
    <xdr:to>
      <xdr:col>24</xdr:col>
      <xdr:colOff>579120</xdr:colOff>
      <xdr:row>10</xdr:row>
      <xdr:rowOff>152400</xdr:rowOff>
    </xdr:to>
    <xdr:graphicFrame macro="">
      <xdr:nvGraphicFramePr>
        <xdr:cNvPr id="22" name="Chart 2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14</xdr:col>
      <xdr:colOff>497205</xdr:colOff>
      <xdr:row>10</xdr:row>
      <xdr:rowOff>144780</xdr:rowOff>
    </xdr:from>
    <xdr:to>
      <xdr:col>19</xdr:col>
      <xdr:colOff>556260</xdr:colOff>
      <xdr:row>24</xdr:row>
      <xdr:rowOff>76200</xdr:rowOff>
    </xdr:to>
    <xdr:graphicFrame macro="">
      <xdr:nvGraphicFramePr>
        <xdr:cNvPr id="23" name="Chart 2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10</xdr:col>
      <xdr:colOff>0</xdr:colOff>
      <xdr:row>10</xdr:row>
      <xdr:rowOff>140970</xdr:rowOff>
    </xdr:from>
    <xdr:to>
      <xdr:col>14</xdr:col>
      <xdr:colOff>480060</xdr:colOff>
      <xdr:row>24</xdr:row>
      <xdr:rowOff>83820</xdr:rowOff>
    </xdr:to>
    <xdr:graphicFrame macro="">
      <xdr:nvGraphicFramePr>
        <xdr:cNvPr id="24" name="Chart 2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19</xdr:col>
      <xdr:colOff>552450</xdr:colOff>
      <xdr:row>10</xdr:row>
      <xdr:rowOff>144780</xdr:rowOff>
    </xdr:from>
    <xdr:to>
      <xdr:col>24</xdr:col>
      <xdr:colOff>571500</xdr:colOff>
      <xdr:row>24</xdr:row>
      <xdr:rowOff>76200</xdr:rowOff>
    </xdr:to>
    <xdr:graphicFrame macro="">
      <xdr:nvGraphicFramePr>
        <xdr:cNvPr id="25" name="Chart 2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wsDr>
</file>

<file path=xl/drawings/drawing10.xml><?xml version="1.0" encoding="utf-8"?>
<xdr:wsDr xmlns:xdr="http://schemas.openxmlformats.org/drawingml/2006/spreadsheetDrawing" xmlns:a="http://schemas.openxmlformats.org/drawingml/2006/main">
  <xdr:twoCellAnchor>
    <xdr:from>
      <xdr:col>7</xdr:col>
      <xdr:colOff>853440</xdr:colOff>
      <xdr:row>43</xdr:row>
      <xdr:rowOff>129540</xdr:rowOff>
    </xdr:from>
    <xdr:to>
      <xdr:col>12</xdr:col>
      <xdr:colOff>403860</xdr:colOff>
      <xdr:row>46</xdr:row>
      <xdr:rowOff>144780</xdr:rowOff>
    </xdr:to>
    <xdr:sp macro="" textlink="">
      <xdr:nvSpPr>
        <xdr:cNvPr id="2" name="Text Box 104"/>
        <xdr:cNvSpPr txBox="1">
          <a:spLocks noChangeArrowheads="1"/>
        </xdr:cNvSpPr>
      </xdr:nvSpPr>
      <xdr:spPr bwMode="auto">
        <a:xfrm>
          <a:off x="8025765" y="7520940"/>
          <a:ext cx="4655820" cy="50101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AU" sz="1000" b="0" i="0" u="none" strike="noStrike" baseline="0">
              <a:solidFill>
                <a:srgbClr val="000000"/>
              </a:solidFill>
              <a:latin typeface="Arial"/>
              <a:cs typeface="Arial"/>
            </a:rPr>
            <a:t>These columns are used to determine the NPV of annnual costs after tax deductions, </a:t>
          </a:r>
        </a:p>
      </xdr:txBody>
    </xdr:sp>
    <xdr:clientData/>
  </xdr:twoCellAnchor>
  <xdr:twoCellAnchor editAs="oneCell">
    <xdr:from>
      <xdr:col>5</xdr:col>
      <xdr:colOff>287655</xdr:colOff>
      <xdr:row>29</xdr:row>
      <xdr:rowOff>24765</xdr:rowOff>
    </xdr:from>
    <xdr:to>
      <xdr:col>12</xdr:col>
      <xdr:colOff>280035</xdr:colOff>
      <xdr:row>39</xdr:row>
      <xdr:rowOff>24765</xdr:rowOff>
    </xdr:to>
    <xdr:pic>
      <xdr:nvPicPr>
        <xdr:cNvPr id="3"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64530" y="5025390"/>
          <a:ext cx="711708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459105</xdr:colOff>
      <xdr:row>5</xdr:row>
      <xdr:rowOff>64770</xdr:rowOff>
    </xdr:from>
    <xdr:to>
      <xdr:col>8</xdr:col>
      <xdr:colOff>817245</xdr:colOff>
      <xdr:row>16</xdr:row>
      <xdr:rowOff>74295</xdr:rowOff>
    </xdr:to>
    <xdr:sp macro="" textlink="">
      <xdr:nvSpPr>
        <xdr:cNvPr id="4" name="Text Box 2"/>
        <xdr:cNvSpPr txBox="1">
          <a:spLocks noChangeArrowheads="1"/>
        </xdr:cNvSpPr>
      </xdr:nvSpPr>
      <xdr:spPr bwMode="auto">
        <a:xfrm>
          <a:off x="5935980" y="979170"/>
          <a:ext cx="3539490" cy="19335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AU" sz="1000" b="0" i="0" u="none" strike="noStrike" baseline="0">
              <a:solidFill>
                <a:srgbClr val="000000"/>
              </a:solidFill>
              <a:latin typeface="Arial"/>
              <a:cs typeface="Arial"/>
            </a:rPr>
            <a:t>Note that the WACC and the tan cells leading to "Simple LCOE based on WACC" are completely independent of the other calculations and provide a cross check plus a way of determing a Weighted Average Cost of Capital mannually. </a:t>
          </a:r>
        </a:p>
        <a:p>
          <a:pPr algn="l" rtl="0">
            <a:defRPr sz="1000"/>
          </a:pPr>
          <a:r>
            <a:rPr lang="en-AU" sz="1000" b="0" i="0" u="none" strike="noStrike" baseline="0">
              <a:solidFill>
                <a:srgbClr val="000000"/>
              </a:solidFill>
              <a:latin typeface="Arial"/>
              <a:cs typeface="Arial"/>
            </a:rPr>
            <a:t>To use as a check, make Loan Interest, discount rate and WACC the same.  Plus make tax =0. </a:t>
          </a:r>
        </a:p>
        <a:p>
          <a:pPr algn="l" rtl="0">
            <a:defRPr sz="1000"/>
          </a:pPr>
          <a:r>
            <a:rPr lang="en-AU" sz="1000" b="0" i="0" u="none" strike="noStrike" baseline="0">
              <a:solidFill>
                <a:srgbClr val="000000"/>
              </a:solidFill>
              <a:latin typeface="Arial"/>
              <a:cs typeface="Arial"/>
            </a:rPr>
            <a:t>Both LCOEs then come to be the same, irrespective of loan fraction. </a:t>
          </a:r>
        </a:p>
        <a:p>
          <a:pPr algn="l" rtl="0">
            <a:defRPr sz="1000"/>
          </a:pPr>
          <a:r>
            <a:rPr lang="en-AU" sz="1000" b="0" i="0" u="none" strike="noStrike" baseline="0">
              <a:solidFill>
                <a:srgbClr val="000000"/>
              </a:solidFill>
              <a:latin typeface="Arial"/>
              <a:cs typeface="Arial"/>
            </a:rPr>
            <a:t>Otherwise, vary WACC mannually to make agree approximately with either of real or nominal LCOES and so determine effective  real or nominal "WACC".</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7</xdr:col>
      <xdr:colOff>853440</xdr:colOff>
      <xdr:row>42</xdr:row>
      <xdr:rowOff>129540</xdr:rowOff>
    </xdr:from>
    <xdr:to>
      <xdr:col>12</xdr:col>
      <xdr:colOff>403860</xdr:colOff>
      <xdr:row>45</xdr:row>
      <xdr:rowOff>144780</xdr:rowOff>
    </xdr:to>
    <xdr:sp macro="" textlink="">
      <xdr:nvSpPr>
        <xdr:cNvPr id="2" name="Text Box 104"/>
        <xdr:cNvSpPr txBox="1">
          <a:spLocks noChangeArrowheads="1"/>
        </xdr:cNvSpPr>
      </xdr:nvSpPr>
      <xdr:spPr bwMode="auto">
        <a:xfrm>
          <a:off x="8682990" y="7359015"/>
          <a:ext cx="3798570" cy="50101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AU" sz="1000" b="0" i="0" u="none" strike="noStrike" baseline="0">
              <a:solidFill>
                <a:srgbClr val="000000"/>
              </a:solidFill>
              <a:latin typeface="Arial"/>
              <a:cs typeface="Arial"/>
            </a:rPr>
            <a:t>These columns are used to determine the NPV of annnual costs after tax deductions, </a:t>
          </a:r>
        </a:p>
      </xdr:txBody>
    </xdr:sp>
    <xdr:clientData/>
  </xdr:twoCellAnchor>
  <xdr:twoCellAnchor editAs="oneCell">
    <xdr:from>
      <xdr:col>9</xdr:col>
      <xdr:colOff>49530</xdr:colOff>
      <xdr:row>8</xdr:row>
      <xdr:rowOff>110490</xdr:rowOff>
    </xdr:from>
    <xdr:to>
      <xdr:col>17</xdr:col>
      <xdr:colOff>384810</xdr:colOff>
      <xdr:row>17</xdr:row>
      <xdr:rowOff>129540</xdr:rowOff>
    </xdr:to>
    <xdr:pic>
      <xdr:nvPicPr>
        <xdr:cNvPr id="3"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4055" y="1548765"/>
          <a:ext cx="711708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40005</xdr:colOff>
      <xdr:row>1</xdr:row>
      <xdr:rowOff>83821</xdr:rowOff>
    </xdr:from>
    <xdr:to>
      <xdr:col>15</xdr:col>
      <xdr:colOff>419100</xdr:colOff>
      <xdr:row>8</xdr:row>
      <xdr:rowOff>28576</xdr:rowOff>
    </xdr:to>
    <xdr:sp macro="" textlink="">
      <xdr:nvSpPr>
        <xdr:cNvPr id="4" name="Text Box 2"/>
        <xdr:cNvSpPr txBox="1">
          <a:spLocks noChangeArrowheads="1"/>
        </xdr:cNvSpPr>
      </xdr:nvSpPr>
      <xdr:spPr bwMode="auto">
        <a:xfrm>
          <a:off x="9574530" y="331471"/>
          <a:ext cx="5465445" cy="113538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AU" sz="1000" b="0" i="0" u="none" strike="noStrike" baseline="0">
              <a:solidFill>
                <a:srgbClr val="000000"/>
              </a:solidFill>
              <a:latin typeface="Arial"/>
              <a:cs typeface="Arial"/>
            </a:rPr>
            <a:t>Note that the WACC and the tan cells leading to "Simple LCOE based on WACC" are completely independent of the other calculations and provide a cross check plus a way of determing a Weighted Average Cost of Capital mannually. </a:t>
          </a:r>
        </a:p>
        <a:p>
          <a:pPr algn="l" rtl="0">
            <a:defRPr sz="1000"/>
          </a:pPr>
          <a:r>
            <a:rPr lang="en-AU" sz="1000" b="0" i="0" u="none" strike="noStrike" baseline="0">
              <a:solidFill>
                <a:srgbClr val="000000"/>
              </a:solidFill>
              <a:latin typeface="Arial"/>
              <a:cs typeface="Arial"/>
            </a:rPr>
            <a:t>To use as a check, make Loan Interest, discount rate and WACC the same.  Plus make tax =0. </a:t>
          </a:r>
        </a:p>
        <a:p>
          <a:pPr algn="l" rtl="0">
            <a:defRPr sz="1000"/>
          </a:pPr>
          <a:r>
            <a:rPr lang="en-AU" sz="1000" b="0" i="0" u="none" strike="noStrike" baseline="0">
              <a:solidFill>
                <a:srgbClr val="000000"/>
              </a:solidFill>
              <a:latin typeface="Arial"/>
              <a:cs typeface="Arial"/>
            </a:rPr>
            <a:t>Both LCOEs then come to be the same, irrespective of loan fraction. </a:t>
          </a:r>
        </a:p>
        <a:p>
          <a:pPr algn="l" rtl="0">
            <a:defRPr sz="1000"/>
          </a:pPr>
          <a:r>
            <a:rPr lang="en-AU" sz="1000" b="0" i="0" u="none" strike="noStrike" baseline="0">
              <a:solidFill>
                <a:srgbClr val="000000"/>
              </a:solidFill>
              <a:latin typeface="Arial"/>
              <a:cs typeface="Arial"/>
            </a:rPr>
            <a:t>Otherwise, vary WACC mannually to make agree approximately with either of real or nominal LCOES and so determine effective  real or nominal "WACC".</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7</xdr:col>
      <xdr:colOff>853440</xdr:colOff>
      <xdr:row>42</xdr:row>
      <xdr:rowOff>129540</xdr:rowOff>
    </xdr:from>
    <xdr:to>
      <xdr:col>12</xdr:col>
      <xdr:colOff>403860</xdr:colOff>
      <xdr:row>45</xdr:row>
      <xdr:rowOff>144780</xdr:rowOff>
    </xdr:to>
    <xdr:sp macro="" textlink="">
      <xdr:nvSpPr>
        <xdr:cNvPr id="2" name="Text Box 104"/>
        <xdr:cNvSpPr txBox="1">
          <a:spLocks noChangeArrowheads="1"/>
        </xdr:cNvSpPr>
      </xdr:nvSpPr>
      <xdr:spPr bwMode="auto">
        <a:xfrm>
          <a:off x="8025765" y="7549515"/>
          <a:ext cx="4655820" cy="50101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AU" sz="1000" b="0" i="0" u="none" strike="noStrike" baseline="0">
              <a:solidFill>
                <a:srgbClr val="000000"/>
              </a:solidFill>
              <a:latin typeface="Arial"/>
              <a:cs typeface="Arial"/>
            </a:rPr>
            <a:t>These columns are used to determine the NPV of annnual costs after tax deductions, </a:t>
          </a:r>
        </a:p>
      </xdr:txBody>
    </xdr:sp>
    <xdr:clientData/>
  </xdr:twoCellAnchor>
  <xdr:twoCellAnchor editAs="oneCell">
    <xdr:from>
      <xdr:col>9</xdr:col>
      <xdr:colOff>49530</xdr:colOff>
      <xdr:row>8</xdr:row>
      <xdr:rowOff>110490</xdr:rowOff>
    </xdr:from>
    <xdr:to>
      <xdr:col>17</xdr:col>
      <xdr:colOff>384810</xdr:colOff>
      <xdr:row>17</xdr:row>
      <xdr:rowOff>129540</xdr:rowOff>
    </xdr:to>
    <xdr:pic>
      <xdr:nvPicPr>
        <xdr:cNvPr id="3"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793480" y="1548765"/>
          <a:ext cx="711708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40005</xdr:colOff>
      <xdr:row>1</xdr:row>
      <xdr:rowOff>83821</xdr:rowOff>
    </xdr:from>
    <xdr:to>
      <xdr:col>15</xdr:col>
      <xdr:colOff>419100</xdr:colOff>
      <xdr:row>8</xdr:row>
      <xdr:rowOff>28576</xdr:rowOff>
    </xdr:to>
    <xdr:sp macro="" textlink="">
      <xdr:nvSpPr>
        <xdr:cNvPr id="4" name="Text Box 2"/>
        <xdr:cNvSpPr txBox="1">
          <a:spLocks noChangeArrowheads="1"/>
        </xdr:cNvSpPr>
      </xdr:nvSpPr>
      <xdr:spPr bwMode="auto">
        <a:xfrm>
          <a:off x="8783955" y="331471"/>
          <a:ext cx="6065520" cy="113538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AU" sz="1000" b="0" i="0" u="none" strike="noStrike" baseline="0">
              <a:solidFill>
                <a:srgbClr val="000000"/>
              </a:solidFill>
              <a:latin typeface="Arial"/>
              <a:cs typeface="Arial"/>
            </a:rPr>
            <a:t>Note that the WACC and the tan cells leading to "Simple LCOE based on WACC" are completely independent of the other calculations and provide a cross check plus a way of determing a Weighted Average Cost of Capital mannually. </a:t>
          </a:r>
        </a:p>
        <a:p>
          <a:pPr algn="l" rtl="0">
            <a:defRPr sz="1000"/>
          </a:pPr>
          <a:r>
            <a:rPr lang="en-AU" sz="1000" b="0" i="0" u="none" strike="noStrike" baseline="0">
              <a:solidFill>
                <a:srgbClr val="000000"/>
              </a:solidFill>
              <a:latin typeface="Arial"/>
              <a:cs typeface="Arial"/>
            </a:rPr>
            <a:t>To use as a check, make Loan Interest, discount rate and WACC the same.  Plus make tax =0. </a:t>
          </a:r>
        </a:p>
        <a:p>
          <a:pPr algn="l" rtl="0">
            <a:defRPr sz="1000"/>
          </a:pPr>
          <a:r>
            <a:rPr lang="en-AU" sz="1000" b="0" i="0" u="none" strike="noStrike" baseline="0">
              <a:solidFill>
                <a:srgbClr val="000000"/>
              </a:solidFill>
              <a:latin typeface="Arial"/>
              <a:cs typeface="Arial"/>
            </a:rPr>
            <a:t>Both LCOEs then come to be the same, irrespective of loan fraction. </a:t>
          </a:r>
        </a:p>
        <a:p>
          <a:pPr algn="l" rtl="0">
            <a:defRPr sz="1000"/>
          </a:pPr>
          <a:r>
            <a:rPr lang="en-AU" sz="1000" b="0" i="0" u="none" strike="noStrike" baseline="0">
              <a:solidFill>
                <a:srgbClr val="000000"/>
              </a:solidFill>
              <a:latin typeface="Arial"/>
              <a:cs typeface="Arial"/>
            </a:rPr>
            <a:t>Otherwise, vary WACC mannually to make agree approximately with either of real or nominal LCOES and so determine effective  real or nominal "WACC".</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7</xdr:col>
      <xdr:colOff>853440</xdr:colOff>
      <xdr:row>43</xdr:row>
      <xdr:rowOff>129540</xdr:rowOff>
    </xdr:from>
    <xdr:to>
      <xdr:col>12</xdr:col>
      <xdr:colOff>403860</xdr:colOff>
      <xdr:row>46</xdr:row>
      <xdr:rowOff>144780</xdr:rowOff>
    </xdr:to>
    <xdr:sp macro="" textlink="">
      <xdr:nvSpPr>
        <xdr:cNvPr id="2" name="Text Box 104"/>
        <xdr:cNvSpPr txBox="1">
          <a:spLocks noChangeArrowheads="1"/>
        </xdr:cNvSpPr>
      </xdr:nvSpPr>
      <xdr:spPr bwMode="auto">
        <a:xfrm>
          <a:off x="8349615" y="7425690"/>
          <a:ext cx="4655820" cy="50101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AU" sz="1000" b="0" i="0" u="none" strike="noStrike" baseline="0">
              <a:solidFill>
                <a:srgbClr val="000000"/>
              </a:solidFill>
              <a:latin typeface="Arial"/>
              <a:cs typeface="Arial"/>
            </a:rPr>
            <a:t>These columns are used to determine the NPV of annnual costs after tax deductions, </a:t>
          </a:r>
        </a:p>
      </xdr:txBody>
    </xdr:sp>
    <xdr:clientData/>
  </xdr:twoCellAnchor>
  <xdr:twoCellAnchor editAs="oneCell">
    <xdr:from>
      <xdr:col>5</xdr:col>
      <xdr:colOff>287655</xdr:colOff>
      <xdr:row>29</xdr:row>
      <xdr:rowOff>24765</xdr:rowOff>
    </xdr:from>
    <xdr:to>
      <xdr:col>12</xdr:col>
      <xdr:colOff>280035</xdr:colOff>
      <xdr:row>39</xdr:row>
      <xdr:rowOff>24765</xdr:rowOff>
    </xdr:to>
    <xdr:pic>
      <xdr:nvPicPr>
        <xdr:cNvPr id="3"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64530" y="5025390"/>
          <a:ext cx="711708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459105</xdr:colOff>
      <xdr:row>5</xdr:row>
      <xdr:rowOff>64770</xdr:rowOff>
    </xdr:from>
    <xdr:to>
      <xdr:col>8</xdr:col>
      <xdr:colOff>817245</xdr:colOff>
      <xdr:row>16</xdr:row>
      <xdr:rowOff>74295</xdr:rowOff>
    </xdr:to>
    <xdr:sp macro="" textlink="">
      <xdr:nvSpPr>
        <xdr:cNvPr id="4" name="Text Box 2"/>
        <xdr:cNvSpPr txBox="1">
          <a:spLocks noChangeArrowheads="1"/>
        </xdr:cNvSpPr>
      </xdr:nvSpPr>
      <xdr:spPr bwMode="auto">
        <a:xfrm>
          <a:off x="5935980" y="979170"/>
          <a:ext cx="3539490" cy="19335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AU" sz="1000" b="0" i="0" u="none" strike="noStrike" baseline="0">
              <a:solidFill>
                <a:srgbClr val="000000"/>
              </a:solidFill>
              <a:latin typeface="Arial"/>
              <a:cs typeface="Arial"/>
            </a:rPr>
            <a:t>Note that the WACC and the tan cells leading to "Simple LCOE based on WACC" are completely independent of the other calculations and provide a cross check plus a way of determing a Weighted Average Cost of Capital mannually. </a:t>
          </a:r>
        </a:p>
        <a:p>
          <a:pPr algn="l" rtl="0">
            <a:defRPr sz="1000"/>
          </a:pPr>
          <a:r>
            <a:rPr lang="en-AU" sz="1000" b="0" i="0" u="none" strike="noStrike" baseline="0">
              <a:solidFill>
                <a:srgbClr val="000000"/>
              </a:solidFill>
              <a:latin typeface="Arial"/>
              <a:cs typeface="Arial"/>
            </a:rPr>
            <a:t>To use as a check, make Loan Interest, discount rate and WACC the same.  Plus make tax =0. </a:t>
          </a:r>
        </a:p>
        <a:p>
          <a:pPr algn="l" rtl="0">
            <a:defRPr sz="1000"/>
          </a:pPr>
          <a:r>
            <a:rPr lang="en-AU" sz="1000" b="0" i="0" u="none" strike="noStrike" baseline="0">
              <a:solidFill>
                <a:srgbClr val="000000"/>
              </a:solidFill>
              <a:latin typeface="Arial"/>
              <a:cs typeface="Arial"/>
            </a:rPr>
            <a:t>Both LCOEs then come to be the same, irrespective of loan fraction. </a:t>
          </a:r>
        </a:p>
        <a:p>
          <a:pPr algn="l" rtl="0">
            <a:defRPr sz="1000"/>
          </a:pPr>
          <a:r>
            <a:rPr lang="en-AU" sz="1000" b="0" i="0" u="none" strike="noStrike" baseline="0">
              <a:solidFill>
                <a:srgbClr val="000000"/>
              </a:solidFill>
              <a:latin typeface="Arial"/>
              <a:cs typeface="Arial"/>
            </a:rPr>
            <a:t>Otherwise, vary WACC mannually to make agree approximately with either of real or nominal LCOES and so determine effective  real or nominal "WACC".</a:t>
          </a:r>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7</xdr:col>
      <xdr:colOff>853440</xdr:colOff>
      <xdr:row>43</xdr:row>
      <xdr:rowOff>129540</xdr:rowOff>
    </xdr:from>
    <xdr:to>
      <xdr:col>12</xdr:col>
      <xdr:colOff>403860</xdr:colOff>
      <xdr:row>46</xdr:row>
      <xdr:rowOff>144780</xdr:rowOff>
    </xdr:to>
    <xdr:sp macro="" textlink="">
      <xdr:nvSpPr>
        <xdr:cNvPr id="2" name="Text Box 104"/>
        <xdr:cNvSpPr txBox="1">
          <a:spLocks noChangeArrowheads="1"/>
        </xdr:cNvSpPr>
      </xdr:nvSpPr>
      <xdr:spPr bwMode="auto">
        <a:xfrm>
          <a:off x="8349615" y="7425690"/>
          <a:ext cx="4655820" cy="50101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AU" sz="1000" b="0" i="0" u="none" strike="noStrike" baseline="0">
              <a:solidFill>
                <a:srgbClr val="000000"/>
              </a:solidFill>
              <a:latin typeface="Arial"/>
              <a:cs typeface="Arial"/>
            </a:rPr>
            <a:t>These columns are used to determine the NPV of annnual costs after tax deductions, </a:t>
          </a:r>
        </a:p>
      </xdr:txBody>
    </xdr:sp>
    <xdr:clientData/>
  </xdr:twoCellAnchor>
  <xdr:twoCellAnchor editAs="oneCell">
    <xdr:from>
      <xdr:col>5</xdr:col>
      <xdr:colOff>287655</xdr:colOff>
      <xdr:row>29</xdr:row>
      <xdr:rowOff>24765</xdr:rowOff>
    </xdr:from>
    <xdr:to>
      <xdr:col>12</xdr:col>
      <xdr:colOff>280035</xdr:colOff>
      <xdr:row>39</xdr:row>
      <xdr:rowOff>24765</xdr:rowOff>
    </xdr:to>
    <xdr:pic>
      <xdr:nvPicPr>
        <xdr:cNvPr id="3"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64530" y="5025390"/>
          <a:ext cx="711708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459105</xdr:colOff>
      <xdr:row>5</xdr:row>
      <xdr:rowOff>64770</xdr:rowOff>
    </xdr:from>
    <xdr:to>
      <xdr:col>8</xdr:col>
      <xdr:colOff>817245</xdr:colOff>
      <xdr:row>16</xdr:row>
      <xdr:rowOff>74295</xdr:rowOff>
    </xdr:to>
    <xdr:sp macro="" textlink="">
      <xdr:nvSpPr>
        <xdr:cNvPr id="4" name="Text Box 2"/>
        <xdr:cNvSpPr txBox="1">
          <a:spLocks noChangeArrowheads="1"/>
        </xdr:cNvSpPr>
      </xdr:nvSpPr>
      <xdr:spPr bwMode="auto">
        <a:xfrm>
          <a:off x="5935980" y="979170"/>
          <a:ext cx="3539490" cy="1933575"/>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AU" sz="1000" b="0" i="0" u="none" strike="noStrike" baseline="0">
              <a:solidFill>
                <a:srgbClr val="000000"/>
              </a:solidFill>
              <a:latin typeface="Arial"/>
              <a:cs typeface="Arial"/>
            </a:rPr>
            <a:t>Note that the WACC and the tan cells leading to "Simple LCOE based on WACC" are completely independent of the other calculations and provide a cross check plus a way of determing a Weighted Average Cost of Capital mannually. </a:t>
          </a:r>
        </a:p>
        <a:p>
          <a:pPr algn="l" rtl="0">
            <a:defRPr sz="1000"/>
          </a:pPr>
          <a:r>
            <a:rPr lang="en-AU" sz="1000" b="0" i="0" u="none" strike="noStrike" baseline="0">
              <a:solidFill>
                <a:srgbClr val="000000"/>
              </a:solidFill>
              <a:latin typeface="Arial"/>
              <a:cs typeface="Arial"/>
            </a:rPr>
            <a:t>To use as a check, make Loan Interest, discount rate and WACC the same.  Plus make tax =0. </a:t>
          </a:r>
        </a:p>
        <a:p>
          <a:pPr algn="l" rtl="0">
            <a:defRPr sz="1000"/>
          </a:pPr>
          <a:r>
            <a:rPr lang="en-AU" sz="1000" b="0" i="0" u="none" strike="noStrike" baseline="0">
              <a:solidFill>
                <a:srgbClr val="000000"/>
              </a:solidFill>
              <a:latin typeface="Arial"/>
              <a:cs typeface="Arial"/>
            </a:rPr>
            <a:t>Both LCOEs then come to be the same, irrespective of loan fraction. </a:t>
          </a:r>
        </a:p>
        <a:p>
          <a:pPr algn="l" rtl="0">
            <a:defRPr sz="1000"/>
          </a:pPr>
          <a:r>
            <a:rPr lang="en-AU" sz="1000" b="0" i="0" u="none" strike="noStrike" baseline="0">
              <a:solidFill>
                <a:srgbClr val="000000"/>
              </a:solidFill>
              <a:latin typeface="Arial"/>
              <a:cs typeface="Arial"/>
            </a:rPr>
            <a:t>Otherwise, vary WACC mannually to make agree approximately with either of real or nominal LCOES and so determine effective  real or nominal "WACC".</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7</xdr:col>
      <xdr:colOff>853440</xdr:colOff>
      <xdr:row>42</xdr:row>
      <xdr:rowOff>129540</xdr:rowOff>
    </xdr:from>
    <xdr:to>
      <xdr:col>12</xdr:col>
      <xdr:colOff>403860</xdr:colOff>
      <xdr:row>45</xdr:row>
      <xdr:rowOff>144780</xdr:rowOff>
    </xdr:to>
    <xdr:sp macro="" textlink="">
      <xdr:nvSpPr>
        <xdr:cNvPr id="2" name="Text Box 104"/>
        <xdr:cNvSpPr txBox="1">
          <a:spLocks noChangeArrowheads="1"/>
        </xdr:cNvSpPr>
      </xdr:nvSpPr>
      <xdr:spPr bwMode="auto">
        <a:xfrm>
          <a:off x="8682990" y="7359015"/>
          <a:ext cx="3798570" cy="501015"/>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r>
            <a:rPr lang="en-AU" sz="1000" b="0" i="0" u="none" strike="noStrike" baseline="0">
              <a:solidFill>
                <a:srgbClr val="000000"/>
              </a:solidFill>
              <a:latin typeface="Arial"/>
              <a:cs typeface="Arial"/>
            </a:rPr>
            <a:t>These columns are used to determine the NPV of annnual costs after tax deductions, </a:t>
          </a:r>
        </a:p>
      </xdr:txBody>
    </xdr:sp>
    <xdr:clientData/>
  </xdr:twoCellAnchor>
  <xdr:twoCellAnchor editAs="oneCell">
    <xdr:from>
      <xdr:col>9</xdr:col>
      <xdr:colOff>49530</xdr:colOff>
      <xdr:row>8</xdr:row>
      <xdr:rowOff>110490</xdr:rowOff>
    </xdr:from>
    <xdr:to>
      <xdr:col>17</xdr:col>
      <xdr:colOff>384810</xdr:colOff>
      <xdr:row>17</xdr:row>
      <xdr:rowOff>129540</xdr:rowOff>
    </xdr:to>
    <xdr:pic>
      <xdr:nvPicPr>
        <xdr:cNvPr id="3"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84055" y="1548765"/>
          <a:ext cx="7117080" cy="16192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40005</xdr:colOff>
      <xdr:row>1</xdr:row>
      <xdr:rowOff>83821</xdr:rowOff>
    </xdr:from>
    <xdr:to>
      <xdr:col>15</xdr:col>
      <xdr:colOff>419100</xdr:colOff>
      <xdr:row>8</xdr:row>
      <xdr:rowOff>28576</xdr:rowOff>
    </xdr:to>
    <xdr:sp macro="" textlink="">
      <xdr:nvSpPr>
        <xdr:cNvPr id="4" name="Text Box 2"/>
        <xdr:cNvSpPr txBox="1">
          <a:spLocks noChangeArrowheads="1"/>
        </xdr:cNvSpPr>
      </xdr:nvSpPr>
      <xdr:spPr bwMode="auto">
        <a:xfrm>
          <a:off x="9574530" y="331471"/>
          <a:ext cx="5465445" cy="1135380"/>
        </a:xfrm>
        <a:prstGeom prst="rect">
          <a:avLst/>
        </a:prstGeom>
        <a:solidFill>
          <a:srgbClr val="FFFFFF"/>
        </a:solidFill>
        <a:ln w="9525">
          <a:solidFill>
            <a:srgbClr val="000000"/>
          </a:solidFill>
          <a:miter lim="800000"/>
          <a:headEnd/>
          <a:tailEnd/>
        </a:ln>
      </xdr:spPr>
      <xdr:txBody>
        <a:bodyPr vertOverflow="clip" wrap="square" lIns="27432" tIns="22860" rIns="0" bIns="0" anchor="t" upright="1"/>
        <a:lstStyle/>
        <a:p>
          <a:pPr algn="l" rtl="0">
            <a:defRPr sz="1000"/>
          </a:pPr>
          <a:r>
            <a:rPr lang="en-AU" sz="1000" b="0" i="0" u="none" strike="noStrike" baseline="0">
              <a:solidFill>
                <a:srgbClr val="000000"/>
              </a:solidFill>
              <a:latin typeface="Arial"/>
              <a:cs typeface="Arial"/>
            </a:rPr>
            <a:t>Note that the WACC and the tan cells leading to "Simple LCOE based on WACC" are completely independent of the other calculations and provide a cross check plus a way of determing a Weighted Average Cost of Capital mannually. </a:t>
          </a:r>
        </a:p>
        <a:p>
          <a:pPr algn="l" rtl="0">
            <a:defRPr sz="1000"/>
          </a:pPr>
          <a:r>
            <a:rPr lang="en-AU" sz="1000" b="0" i="0" u="none" strike="noStrike" baseline="0">
              <a:solidFill>
                <a:srgbClr val="000000"/>
              </a:solidFill>
              <a:latin typeface="Arial"/>
              <a:cs typeface="Arial"/>
            </a:rPr>
            <a:t>To use as a check, make Loan Interest, discount rate and WACC the same.  Plus make tax =0. </a:t>
          </a:r>
        </a:p>
        <a:p>
          <a:pPr algn="l" rtl="0">
            <a:defRPr sz="1000"/>
          </a:pPr>
          <a:r>
            <a:rPr lang="en-AU" sz="1000" b="0" i="0" u="none" strike="noStrike" baseline="0">
              <a:solidFill>
                <a:srgbClr val="000000"/>
              </a:solidFill>
              <a:latin typeface="Arial"/>
              <a:cs typeface="Arial"/>
            </a:rPr>
            <a:t>Both LCOEs then come to be the same, irrespective of loan fraction. </a:t>
          </a:r>
        </a:p>
        <a:p>
          <a:pPr algn="l" rtl="0">
            <a:defRPr sz="1000"/>
          </a:pPr>
          <a:r>
            <a:rPr lang="en-AU" sz="1000" b="0" i="0" u="none" strike="noStrike" baseline="0">
              <a:solidFill>
                <a:srgbClr val="000000"/>
              </a:solidFill>
              <a:latin typeface="Arial"/>
              <a:cs typeface="Arial"/>
            </a:rPr>
            <a:t>Otherwise, vary WACC mannually to make agree approximately with either of real or nominal LCOES and so determine effective  real or nominal "WACC".</a:t>
          </a:r>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38100</xdr:colOff>
      <xdr:row>33</xdr:row>
      <xdr:rowOff>142875</xdr:rowOff>
    </xdr:from>
    <xdr:to>
      <xdr:col>7</xdr:col>
      <xdr:colOff>19050</xdr:colOff>
      <xdr:row>53</xdr:row>
      <xdr:rowOff>47625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290512</xdr:colOff>
      <xdr:row>0</xdr:row>
      <xdr:rowOff>285750</xdr:rowOff>
    </xdr:from>
    <xdr:to>
      <xdr:col>11</xdr:col>
      <xdr:colOff>938212</xdr:colOff>
      <xdr:row>14</xdr:row>
      <xdr:rowOff>171450</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uffman\general\Users\keith\Documents\BigDish\Wizard\LEC.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ow r="4">
          <cell r="I4">
            <v>1.1000000000000001</v>
          </cell>
        </row>
        <row r="5">
          <cell r="I5">
            <v>1.4</v>
          </cell>
        </row>
        <row r="6">
          <cell r="I6">
            <v>0.94</v>
          </cell>
        </row>
        <row r="8">
          <cell r="I8">
            <v>0.23891666666666664</v>
          </cell>
        </row>
        <row r="9">
          <cell r="I9">
            <v>30</v>
          </cell>
        </row>
        <row r="12">
          <cell r="I12">
            <v>28.669999999999998</v>
          </cell>
        </row>
        <row r="16">
          <cell r="I16">
            <v>3.7333333333333329E-2</v>
          </cell>
        </row>
        <row r="23">
          <cell r="E23">
            <v>7.8573172527010617E-6</v>
          </cell>
          <cell r="F23">
            <v>8.6816706712644507E-6</v>
          </cell>
          <cell r="G23">
            <v>9.5489624988638361E-6</v>
          </cell>
          <cell r="H23">
            <v>1.0455068893962464E-5</v>
          </cell>
          <cell r="I23">
            <v>1.1395825729140669E-5</v>
          </cell>
          <cell r="J23">
            <v>1.2367163400786507E-5</v>
          </cell>
          <cell r="K23">
            <v>1.3365210987743596E-5</v>
          </cell>
          <cell r="L23">
            <v>1.0921373946077604E-5</v>
          </cell>
        </row>
      </sheetData>
      <sheetData sheetId="1"/>
      <sheetData sheetId="2"/>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1.xml"/></Relationships>
</file>

<file path=xl/worksheets/_rels/sheet10.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0.xml"/><Relationship Id="rId1" Type="http://schemas.openxmlformats.org/officeDocument/2006/relationships/printerSettings" Target="../printerSettings/printerSettings10.bin"/><Relationship Id="rId4" Type="http://schemas.openxmlformats.org/officeDocument/2006/relationships/comments" Target="../comments2.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13.xml"/><Relationship Id="rId1" Type="http://schemas.openxmlformats.org/officeDocument/2006/relationships/printerSettings" Target="../printerSettings/printerSettings13.bin"/><Relationship Id="rId4" Type="http://schemas.openxmlformats.org/officeDocument/2006/relationships/comments" Target="../comments3.xml"/></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14.xml"/><Relationship Id="rId1" Type="http://schemas.openxmlformats.org/officeDocument/2006/relationships/printerSettings" Target="../printerSettings/printerSettings14.bin"/><Relationship Id="rId4" Type="http://schemas.openxmlformats.org/officeDocument/2006/relationships/comments" Target="../comments4.xml"/></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
  <sheetViews>
    <sheetView tabSelected="1" zoomScale="90" zoomScaleNormal="90" workbookViewId="0">
      <selection activeCell="C34" sqref="C34"/>
    </sheetView>
  </sheetViews>
  <sheetFormatPr defaultColWidth="9.109375" defaultRowHeight="14.4" x14ac:dyDescent="0.3"/>
  <cols>
    <col min="1" max="16384" width="9.109375" style="163"/>
  </cols>
  <sheetData/>
  <sheetProtection algorithmName="SHA-512" hashValue="Z+rwi+kHXzhK9q14HdP6xPiy2nXzeoyD0YzoowzwrZl5IropaFu4GStzgixe864UvDo6qqxXARfDri3vlQMV3Q==" saltValue="SgIHnZc3nRAdmg7QVIikxw==" spinCount="100000" sheet="1" objects="1" scenarios="1" selectLockedCells="1"/>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22"/>
  <sheetViews>
    <sheetView zoomScale="90" zoomScaleNormal="90" workbookViewId="0">
      <selection activeCell="C11" sqref="C11"/>
    </sheetView>
  </sheetViews>
  <sheetFormatPr defaultColWidth="9.109375" defaultRowHeight="14.4" x14ac:dyDescent="0.3"/>
  <cols>
    <col min="1" max="1" width="38" style="163" bestFit="1" customWidth="1"/>
    <col min="2" max="2" width="15" style="163" customWidth="1"/>
    <col min="3" max="3" width="11.21875" style="163" customWidth="1"/>
    <col min="4" max="4" width="9.109375" style="163"/>
    <col min="5" max="5" width="74.44140625" style="163" bestFit="1" customWidth="1"/>
    <col min="6" max="16384" width="9.109375" style="163"/>
  </cols>
  <sheetData>
    <row r="1" spans="1:5" ht="42" customHeight="1" x14ac:dyDescent="0.3"/>
    <row r="2" spans="1:5" ht="43.2" x14ac:dyDescent="0.3">
      <c r="A2" s="106" t="s">
        <v>140</v>
      </c>
      <c r="B2" s="108" t="s">
        <v>101</v>
      </c>
      <c r="C2" s="108" t="s">
        <v>292</v>
      </c>
      <c r="D2" s="108" t="s">
        <v>97</v>
      </c>
      <c r="E2" s="108" t="s">
        <v>96</v>
      </c>
    </row>
    <row r="3" spans="1:5" x14ac:dyDescent="0.3">
      <c r="A3" s="70" t="s">
        <v>177</v>
      </c>
      <c r="B3" s="272" t="s">
        <v>98</v>
      </c>
      <c r="C3" s="216">
        <v>150000</v>
      </c>
      <c r="D3" s="71" t="s">
        <v>157</v>
      </c>
      <c r="E3" s="316" t="s">
        <v>176</v>
      </c>
    </row>
    <row r="4" spans="1:5" x14ac:dyDescent="0.3">
      <c r="A4" s="70" t="s">
        <v>255</v>
      </c>
      <c r="B4" s="272" t="s">
        <v>98</v>
      </c>
      <c r="C4" s="306">
        <f>C3/3.6/8760</f>
        <v>4.756468797564688</v>
      </c>
      <c r="D4" s="71" t="s">
        <v>256</v>
      </c>
      <c r="E4" s="316"/>
    </row>
    <row r="5" spans="1:5" x14ac:dyDescent="0.3">
      <c r="A5" s="72" t="s">
        <v>141</v>
      </c>
      <c r="B5" s="272" t="s">
        <v>98</v>
      </c>
      <c r="C5" s="216">
        <v>100</v>
      </c>
      <c r="D5" s="6" t="s">
        <v>158</v>
      </c>
      <c r="E5" s="72" t="str">
        <f>IF(C5&lt;25,"PLEASE ENTER HIGHER TEMP",IF(C5&gt;1500,"TEMP TOO HIGH FOR SOLAR",""))</f>
        <v/>
      </c>
    </row>
    <row r="6" spans="1:5" ht="43.2" x14ac:dyDescent="0.3">
      <c r="A6" s="106" t="s">
        <v>139</v>
      </c>
      <c r="B6" s="108" t="s">
        <v>101</v>
      </c>
      <c r="C6" s="108" t="s">
        <v>292</v>
      </c>
      <c r="D6" s="108" t="s">
        <v>97</v>
      </c>
      <c r="E6" s="108" t="s">
        <v>96</v>
      </c>
    </row>
    <row r="7" spans="1:5" ht="28.8" x14ac:dyDescent="0.3">
      <c r="A7" s="70" t="s">
        <v>10</v>
      </c>
      <c r="B7" s="76">
        <v>0.6</v>
      </c>
      <c r="C7" s="217">
        <v>0.6</v>
      </c>
      <c r="D7" s="71" t="s">
        <v>1</v>
      </c>
      <c r="E7" s="70" t="s">
        <v>205</v>
      </c>
    </row>
    <row r="8" spans="1:5" x14ac:dyDescent="0.3">
      <c r="A8" s="70" t="s">
        <v>11</v>
      </c>
      <c r="B8" s="74">
        <v>10</v>
      </c>
      <c r="C8" s="218">
        <v>10</v>
      </c>
      <c r="D8" s="71" t="s">
        <v>95</v>
      </c>
      <c r="E8" s="71" t="s">
        <v>128</v>
      </c>
    </row>
    <row r="9" spans="1:5" x14ac:dyDescent="0.3">
      <c r="A9" s="70" t="s">
        <v>13</v>
      </c>
      <c r="B9" s="75">
        <v>7.4999999999999997E-2</v>
      </c>
      <c r="C9" s="219">
        <v>7.4999999999999997E-2</v>
      </c>
      <c r="D9" s="71" t="s">
        <v>14</v>
      </c>
      <c r="E9" s="71" t="s">
        <v>129</v>
      </c>
    </row>
    <row r="10" spans="1:5" x14ac:dyDescent="0.3">
      <c r="A10" s="70" t="s">
        <v>15</v>
      </c>
      <c r="B10" s="76">
        <v>0.1</v>
      </c>
      <c r="C10" s="220">
        <v>0.1</v>
      </c>
      <c r="D10" s="71" t="s">
        <v>14</v>
      </c>
      <c r="E10" s="70" t="s">
        <v>175</v>
      </c>
    </row>
    <row r="11" spans="1:5" x14ac:dyDescent="0.3">
      <c r="A11" s="70" t="s">
        <v>100</v>
      </c>
      <c r="B11" s="76" t="s">
        <v>179</v>
      </c>
      <c r="C11" s="221">
        <v>0</v>
      </c>
      <c r="D11" s="71" t="s">
        <v>14</v>
      </c>
      <c r="E11" s="71" t="s">
        <v>178</v>
      </c>
    </row>
    <row r="12" spans="1:5" ht="28.8" x14ac:dyDescent="0.3">
      <c r="A12" s="70" t="s">
        <v>23</v>
      </c>
      <c r="B12" s="75">
        <v>2.5000000000000001E-2</v>
      </c>
      <c r="C12" s="220">
        <v>2.5000000000000001E-2</v>
      </c>
      <c r="D12" s="71" t="s">
        <v>14</v>
      </c>
      <c r="E12" s="70" t="s">
        <v>180</v>
      </c>
    </row>
    <row r="13" spans="1:5" x14ac:dyDescent="0.3">
      <c r="A13" s="70" t="s">
        <v>17</v>
      </c>
      <c r="B13" s="74">
        <v>15</v>
      </c>
      <c r="C13" s="218">
        <v>15</v>
      </c>
      <c r="D13" s="71" t="s">
        <v>95</v>
      </c>
      <c r="E13" s="71" t="s">
        <v>130</v>
      </c>
    </row>
    <row r="14" spans="1:5" x14ac:dyDescent="0.3">
      <c r="A14" s="70" t="s">
        <v>99</v>
      </c>
      <c r="B14" s="74">
        <v>20</v>
      </c>
      <c r="C14" s="218">
        <v>20</v>
      </c>
      <c r="D14" s="71" t="s">
        <v>95</v>
      </c>
      <c r="E14" s="71" t="s">
        <v>131</v>
      </c>
    </row>
    <row r="15" spans="1:5" ht="28.8" x14ac:dyDescent="0.3">
      <c r="A15" s="71" t="s">
        <v>136</v>
      </c>
      <c r="B15" s="303">
        <v>0.05</v>
      </c>
      <c r="C15" s="222">
        <v>0.05</v>
      </c>
      <c r="D15" s="83"/>
      <c r="E15" s="70" t="s">
        <v>286</v>
      </c>
    </row>
    <row r="16" spans="1:5" ht="19.8" x14ac:dyDescent="0.3">
      <c r="A16" s="106" t="s">
        <v>134</v>
      </c>
      <c r="B16" s="106"/>
      <c r="C16" s="106"/>
      <c r="D16" s="106"/>
      <c r="E16" s="106"/>
    </row>
    <row r="17" spans="1:5" x14ac:dyDescent="0.3">
      <c r="A17" s="316" t="s">
        <v>294</v>
      </c>
      <c r="B17" s="316"/>
      <c r="C17" s="316"/>
      <c r="D17" s="316"/>
      <c r="E17" s="316"/>
    </row>
    <row r="18" spans="1:5" x14ac:dyDescent="0.3">
      <c r="A18" s="316"/>
      <c r="B18" s="316"/>
      <c r="C18" s="316"/>
      <c r="D18" s="316"/>
      <c r="E18" s="316"/>
    </row>
    <row r="19" spans="1:5" x14ac:dyDescent="0.3">
      <c r="A19" s="316"/>
      <c r="B19" s="316"/>
      <c r="C19" s="316"/>
      <c r="D19" s="316"/>
      <c r="E19" s="316"/>
    </row>
    <row r="20" spans="1:5" x14ac:dyDescent="0.3">
      <c r="A20" s="316"/>
      <c r="B20" s="316"/>
      <c r="C20" s="316"/>
      <c r="D20" s="316"/>
      <c r="E20" s="316"/>
    </row>
    <row r="21" spans="1:5" ht="8.4" customHeight="1" x14ac:dyDescent="0.3">
      <c r="A21" s="316"/>
      <c r="B21" s="316"/>
      <c r="C21" s="316"/>
      <c r="D21" s="316"/>
      <c r="E21" s="316"/>
    </row>
    <row r="22" spans="1:5" hidden="1" x14ac:dyDescent="0.3">
      <c r="A22" s="316"/>
      <c r="B22" s="316"/>
      <c r="C22" s="316"/>
      <c r="D22" s="316"/>
      <c r="E22" s="316"/>
    </row>
  </sheetData>
  <sheetProtection algorithmName="SHA-512" hashValue="OZ7apMo96NCNl2ud91/dunV5sdLjXZ+/Uk+v/ThnvHh4n5fUf+W5K8yGRgZtIQS2lw8Rp2Ok43Wqs3un6S52NQ==" saltValue="OfLxtWN5ZPj79nUActsn8Q==" spinCount="100000" sheet="1" objects="1" scenarios="1" selectLockedCells="1"/>
  <mergeCells count="2">
    <mergeCell ref="E3:E4"/>
    <mergeCell ref="A17:E22"/>
  </mergeCells>
  <pageMargins left="0.7" right="0.7" top="0.75" bottom="0.75" header="0.3" footer="0.3"/>
  <pageSetup paperSize="9" orientation="portrait" horizontalDpi="300"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Q41"/>
  <sheetViews>
    <sheetView zoomScale="90" zoomScaleNormal="90" workbookViewId="0">
      <selection activeCell="C8" sqref="C8"/>
    </sheetView>
  </sheetViews>
  <sheetFormatPr defaultColWidth="9.109375" defaultRowHeight="14.4" x14ac:dyDescent="0.3"/>
  <cols>
    <col min="1" max="1" width="34.5546875" style="164" bestFit="1" customWidth="1"/>
    <col min="2" max="2" width="14" style="165" bestFit="1" customWidth="1"/>
    <col min="3" max="3" width="11" style="165" bestFit="1" customWidth="1"/>
    <col min="4" max="4" width="10.88671875" style="165" bestFit="1" customWidth="1"/>
    <col min="5" max="5" width="68.6640625" style="166" customWidth="1"/>
    <col min="6" max="6" width="2.77734375" style="163" customWidth="1"/>
    <col min="7" max="7" width="34.88671875" style="166" customWidth="1"/>
    <col min="8" max="8" width="13.88671875" style="166" bestFit="1" customWidth="1"/>
    <col min="9" max="13" width="9.109375" style="163"/>
    <col min="14" max="14" width="8.6640625" style="163" customWidth="1"/>
    <col min="15" max="15" width="7.6640625" style="165" bestFit="1" customWidth="1"/>
    <col min="16" max="16" width="7.33203125" style="165" bestFit="1" customWidth="1"/>
    <col min="17" max="18" width="26.5546875" style="165" bestFit="1" customWidth="1"/>
    <col min="19" max="19" width="8.44140625" style="165" customWidth="1"/>
    <col min="20" max="16384" width="9.109375" style="165"/>
  </cols>
  <sheetData>
    <row r="1" spans="1:17" ht="62.4" customHeight="1" x14ac:dyDescent="0.3"/>
    <row r="2" spans="1:17" s="169" customFormat="1" ht="57.6" x14ac:dyDescent="0.3">
      <c r="A2" s="106" t="s">
        <v>76</v>
      </c>
      <c r="B2" s="108" t="s">
        <v>101</v>
      </c>
      <c r="C2" s="108" t="s">
        <v>292</v>
      </c>
      <c r="D2" s="108" t="s">
        <v>97</v>
      </c>
      <c r="E2" s="108" t="s">
        <v>96</v>
      </c>
      <c r="F2" s="163"/>
      <c r="G2" s="106" t="s">
        <v>115</v>
      </c>
      <c r="H2" s="108" t="s">
        <v>76</v>
      </c>
      <c r="I2" s="108" t="s">
        <v>97</v>
      </c>
      <c r="J2" s="168"/>
      <c r="K2" s="168"/>
      <c r="L2" s="168"/>
      <c r="M2" s="168"/>
      <c r="N2" s="168"/>
      <c r="O2" s="168"/>
    </row>
    <row r="3" spans="1:17" ht="15" customHeight="1" x14ac:dyDescent="0.3">
      <c r="A3" s="71" t="s">
        <v>135</v>
      </c>
      <c r="B3" s="271">
        <v>1</v>
      </c>
      <c r="C3" s="271">
        <v>1</v>
      </c>
      <c r="D3" s="6"/>
      <c r="E3" s="71" t="s">
        <v>159</v>
      </c>
      <c r="G3" s="77" t="s">
        <v>146</v>
      </c>
      <c r="H3" s="146">
        <f>Baseline_DCF!D21</f>
        <v>187500</v>
      </c>
      <c r="I3" s="77" t="s">
        <v>32</v>
      </c>
      <c r="O3" s="163"/>
    </row>
    <row r="4" spans="1:17" ht="15" customHeight="1" x14ac:dyDescent="0.3">
      <c r="A4" s="72" t="s">
        <v>5</v>
      </c>
      <c r="B4" s="272" t="s">
        <v>98</v>
      </c>
      <c r="C4" s="210">
        <v>5000</v>
      </c>
      <c r="D4" s="6" t="s">
        <v>6</v>
      </c>
      <c r="E4" s="273" t="s">
        <v>257</v>
      </c>
      <c r="G4" s="77" t="s">
        <v>171</v>
      </c>
      <c r="H4" s="135" t="s">
        <v>107</v>
      </c>
      <c r="I4" s="77" t="s">
        <v>32</v>
      </c>
      <c r="O4" s="163"/>
    </row>
    <row r="5" spans="1:17" s="171" customFormat="1" x14ac:dyDescent="0.3">
      <c r="A5" s="72" t="s">
        <v>186</v>
      </c>
      <c r="B5" s="274">
        <v>0.8</v>
      </c>
      <c r="C5" s="307">
        <f>Baseline_DCF!B4</f>
        <v>0.9512937595129376</v>
      </c>
      <c r="D5" s="6"/>
      <c r="E5" s="72" t="s">
        <v>260</v>
      </c>
      <c r="F5" s="163"/>
      <c r="G5" s="189" t="s">
        <v>144</v>
      </c>
      <c r="H5" s="203">
        <f>Baseline_DCF!B22</f>
        <v>1875000</v>
      </c>
      <c r="I5" s="189"/>
      <c r="J5" s="170"/>
      <c r="K5" s="170"/>
      <c r="L5" s="170"/>
      <c r="M5" s="170"/>
      <c r="N5" s="170"/>
      <c r="O5" s="170"/>
    </row>
    <row r="6" spans="1:17" ht="72" x14ac:dyDescent="0.3">
      <c r="A6" s="72" t="s">
        <v>133</v>
      </c>
      <c r="B6" s="275" t="s">
        <v>98</v>
      </c>
      <c r="C6" s="211">
        <v>0</v>
      </c>
      <c r="D6" s="83"/>
      <c r="E6" s="72" t="s">
        <v>262</v>
      </c>
      <c r="G6" s="77" t="s">
        <v>181</v>
      </c>
      <c r="H6" s="135" t="s">
        <v>107</v>
      </c>
      <c r="I6" s="77"/>
      <c r="O6" s="163"/>
    </row>
    <row r="7" spans="1:17" s="171" customFormat="1" ht="28.8" x14ac:dyDescent="0.3">
      <c r="A7" s="71" t="s">
        <v>156</v>
      </c>
      <c r="B7" s="276">
        <v>0</v>
      </c>
      <c r="C7" s="235">
        <v>0</v>
      </c>
      <c r="D7" s="83" t="s">
        <v>21</v>
      </c>
      <c r="E7" s="72" t="s">
        <v>208</v>
      </c>
      <c r="F7" s="163"/>
      <c r="G7" s="189" t="s">
        <v>172</v>
      </c>
      <c r="H7" s="190">
        <f>Baseline_DCF!D23</f>
        <v>150000</v>
      </c>
      <c r="I7" s="189" t="s">
        <v>32</v>
      </c>
      <c r="J7" s="170"/>
      <c r="K7" s="170"/>
      <c r="L7" s="170"/>
      <c r="M7" s="170"/>
      <c r="N7" s="170"/>
      <c r="O7" s="170"/>
    </row>
    <row r="8" spans="1:17" s="171" customFormat="1" ht="15" customHeight="1" x14ac:dyDescent="0.3">
      <c r="A8" s="317" t="s">
        <v>22</v>
      </c>
      <c r="B8" s="277" t="s">
        <v>98</v>
      </c>
      <c r="C8" s="211">
        <v>0</v>
      </c>
      <c r="D8" s="83" t="s">
        <v>14</v>
      </c>
      <c r="E8" s="316" t="s">
        <v>288</v>
      </c>
      <c r="F8" s="163"/>
      <c r="G8" s="77"/>
      <c r="H8" s="146"/>
      <c r="I8" s="77"/>
      <c r="J8" s="170"/>
      <c r="K8" s="170"/>
      <c r="L8" s="170"/>
      <c r="M8" s="170"/>
      <c r="N8" s="170"/>
      <c r="O8" s="170"/>
    </row>
    <row r="9" spans="1:17" x14ac:dyDescent="0.3">
      <c r="A9" s="317"/>
      <c r="B9" s="278">
        <v>0.02</v>
      </c>
      <c r="C9" s="308">
        <f>IFERROR(C8/C6,0)</f>
        <v>0</v>
      </c>
      <c r="D9" s="83" t="s">
        <v>94</v>
      </c>
      <c r="E9" s="316"/>
      <c r="G9" s="77" t="s">
        <v>173</v>
      </c>
      <c r="H9" s="204">
        <f>Baseline_DCF!D39</f>
        <v>12.500000000000014</v>
      </c>
      <c r="I9" s="77" t="s">
        <v>21</v>
      </c>
      <c r="O9" s="163"/>
    </row>
    <row r="10" spans="1:17" ht="30.6" customHeight="1" x14ac:dyDescent="0.3">
      <c r="A10" s="71" t="s">
        <v>24</v>
      </c>
      <c r="B10" s="275" t="s">
        <v>98</v>
      </c>
      <c r="C10" s="225">
        <v>10</v>
      </c>
      <c r="D10" s="83" t="s">
        <v>21</v>
      </c>
      <c r="E10" s="72" t="s">
        <v>209</v>
      </c>
      <c r="G10" s="189" t="s">
        <v>174</v>
      </c>
      <c r="H10" s="205">
        <f>Baseline_DCF!D40</f>
        <v>12.500000000000014</v>
      </c>
      <c r="I10" s="189" t="s">
        <v>21</v>
      </c>
      <c r="O10" s="163"/>
    </row>
    <row r="11" spans="1:17" x14ac:dyDescent="0.3">
      <c r="A11" s="73" t="s">
        <v>25</v>
      </c>
      <c r="B11" s="279">
        <v>2.5000000000000001E-2</v>
      </c>
      <c r="C11" s="214">
        <v>2.5000000000000001E-2</v>
      </c>
      <c r="D11" s="83" t="s">
        <v>14</v>
      </c>
      <c r="E11" s="73" t="s">
        <v>289</v>
      </c>
      <c r="G11" s="77" t="s">
        <v>142</v>
      </c>
      <c r="H11" s="194">
        <f>H9*H7</f>
        <v>1875000.0000000021</v>
      </c>
      <c r="I11" s="77" t="s">
        <v>14</v>
      </c>
      <c r="O11" s="163"/>
      <c r="Q11" s="172"/>
    </row>
    <row r="12" spans="1:17" x14ac:dyDescent="0.3">
      <c r="A12" s="71" t="s">
        <v>26</v>
      </c>
      <c r="B12" s="274">
        <v>0.8</v>
      </c>
      <c r="C12" s="215">
        <v>0.8</v>
      </c>
      <c r="D12" s="83"/>
      <c r="E12" s="71" t="s">
        <v>258</v>
      </c>
      <c r="G12" s="77" t="s">
        <v>119</v>
      </c>
      <c r="H12" s="135" t="s">
        <v>107</v>
      </c>
      <c r="I12" s="77" t="s">
        <v>14</v>
      </c>
      <c r="O12" s="163"/>
      <c r="Q12" s="173"/>
    </row>
    <row r="13" spans="1:17" ht="19.8" x14ac:dyDescent="0.3">
      <c r="A13" s="106" t="s">
        <v>1</v>
      </c>
      <c r="B13" s="106" t="str">
        <f>IF(C5&gt;1,"BOILER TOO SMALL TO MEET HEAT DEMAND","")</f>
        <v/>
      </c>
      <c r="C13" s="106"/>
      <c r="D13" s="106"/>
      <c r="E13" s="106"/>
      <c r="G13" s="77" t="s">
        <v>120</v>
      </c>
      <c r="H13" s="147" t="s">
        <v>107</v>
      </c>
      <c r="I13" s="77"/>
      <c r="O13" s="163"/>
    </row>
    <row r="14" spans="1:17" ht="15" thickBot="1" x14ac:dyDescent="0.35">
      <c r="D14" s="163"/>
      <c r="E14" s="163"/>
    </row>
    <row r="15" spans="1:17" ht="20.399999999999999" thickBot="1" x14ac:dyDescent="0.35">
      <c r="E15" s="163"/>
      <c r="G15" s="112" t="s">
        <v>287</v>
      </c>
      <c r="H15" s="113"/>
    </row>
    <row r="16" spans="1:17" x14ac:dyDescent="0.3">
      <c r="G16" s="142" t="s">
        <v>155</v>
      </c>
      <c r="H16" s="138">
        <f>C4</f>
        <v>5000</v>
      </c>
    </row>
    <row r="17" spans="3:9" x14ac:dyDescent="0.3">
      <c r="G17" s="136" t="s">
        <v>154</v>
      </c>
      <c r="H17" s="134">
        <f>IFERROR(((C4/1000)*400000*(C4/1000)^-0.31)/C4,0)</f>
        <v>242.8730294552355</v>
      </c>
    </row>
    <row r="18" spans="3:9" ht="28.8" x14ac:dyDescent="0.3">
      <c r="G18" s="231" t="s">
        <v>210</v>
      </c>
      <c r="H18" s="209">
        <v>1</v>
      </c>
    </row>
    <row r="19" spans="3:9" ht="15" thickBot="1" x14ac:dyDescent="0.35">
      <c r="G19" s="137" t="s">
        <v>133</v>
      </c>
      <c r="H19" s="129">
        <f>H17*C4*H18</f>
        <v>1214365.1472761775</v>
      </c>
    </row>
    <row r="24" spans="3:9" x14ac:dyDescent="0.3">
      <c r="C24" s="163"/>
      <c r="I24" s="166"/>
    </row>
    <row r="25" spans="3:9" x14ac:dyDescent="0.3">
      <c r="C25" s="163"/>
      <c r="I25" s="166"/>
    </row>
    <row r="26" spans="3:9" x14ac:dyDescent="0.3">
      <c r="C26" s="163"/>
      <c r="I26" s="166"/>
    </row>
    <row r="27" spans="3:9" x14ac:dyDescent="0.3">
      <c r="C27" s="163"/>
      <c r="I27" s="166"/>
    </row>
    <row r="28" spans="3:9" x14ac:dyDescent="0.3">
      <c r="C28" s="167"/>
      <c r="I28" s="166"/>
    </row>
    <row r="29" spans="3:9" x14ac:dyDescent="0.3">
      <c r="I29" s="166"/>
    </row>
    <row r="30" spans="3:9" x14ac:dyDescent="0.3">
      <c r="I30" s="166"/>
    </row>
    <row r="31" spans="3:9" x14ac:dyDescent="0.3">
      <c r="I31" s="166"/>
    </row>
    <row r="32" spans="3:9" ht="15.6" customHeight="1" x14ac:dyDescent="0.3">
      <c r="I32" s="166"/>
    </row>
    <row r="33" spans="9:9" ht="15" customHeight="1" x14ac:dyDescent="0.3">
      <c r="I33" s="166"/>
    </row>
    <row r="34" spans="9:9" x14ac:dyDescent="0.3">
      <c r="I34" s="166"/>
    </row>
    <row r="35" spans="9:9" x14ac:dyDescent="0.3">
      <c r="I35" s="166"/>
    </row>
    <row r="36" spans="9:9" x14ac:dyDescent="0.3">
      <c r="I36" s="166"/>
    </row>
    <row r="37" spans="9:9" x14ac:dyDescent="0.3">
      <c r="I37" s="166"/>
    </row>
    <row r="38" spans="9:9" x14ac:dyDescent="0.3">
      <c r="I38" s="166"/>
    </row>
    <row r="39" spans="9:9" x14ac:dyDescent="0.3">
      <c r="I39" s="166"/>
    </row>
    <row r="40" spans="9:9" x14ac:dyDescent="0.3">
      <c r="I40" s="166"/>
    </row>
    <row r="41" spans="9:9" x14ac:dyDescent="0.3">
      <c r="I41" s="166"/>
    </row>
  </sheetData>
  <sheetProtection algorithmName="SHA-512" hashValue="mSlrYoJEXIhKbQ04fgN8olilFkKCxmvQ1nW+ER3VqSN9+k/pOoAP3v0TDBK2E+Bt7L3pi53Hsi/QxkgVMDZt7Q==" saltValue="pPVJqHm4cFPFgr7Mnpi1FQ==" spinCount="100000" sheet="1" objects="1" scenarios="1" selectLockedCells="1"/>
  <dataConsolidate/>
  <mergeCells count="2">
    <mergeCell ref="A8:A9"/>
    <mergeCell ref="E8:E9"/>
  </mergeCells>
  <pageMargins left="0.75" right="0.75" top="1" bottom="1" header="0.5" footer="0.5"/>
  <pageSetup paperSize="9"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J29"/>
  <sheetViews>
    <sheetView zoomScale="90" zoomScaleNormal="90" workbookViewId="0">
      <selection activeCell="C11" sqref="C11"/>
    </sheetView>
  </sheetViews>
  <sheetFormatPr defaultColWidth="9.109375" defaultRowHeight="14.4" x14ac:dyDescent="0.3"/>
  <cols>
    <col min="1" max="1" width="27.6640625" style="163" customWidth="1"/>
    <col min="2" max="2" width="14" style="163" bestFit="1" customWidth="1"/>
    <col min="3" max="3" width="12.6640625" style="165" customWidth="1"/>
    <col min="4" max="4" width="10.88671875" style="165" bestFit="1" customWidth="1"/>
    <col min="5" max="5" width="58.5546875" style="163" customWidth="1"/>
    <col min="6" max="6" width="2.77734375" style="163" customWidth="1"/>
    <col min="7" max="7" width="41.33203125" style="166" customWidth="1"/>
    <col min="8" max="10" width="12.6640625" style="166" customWidth="1"/>
    <col min="11" max="11" width="12.6640625" style="163" customWidth="1"/>
    <col min="12" max="12" width="12.109375" style="163" bestFit="1" customWidth="1"/>
    <col min="13" max="16384" width="9.109375" style="163"/>
  </cols>
  <sheetData>
    <row r="1" spans="1:10" ht="61.8" customHeight="1" x14ac:dyDescent="0.3"/>
    <row r="2" spans="1:10" ht="43.2" x14ac:dyDescent="0.3">
      <c r="A2" s="253" t="s">
        <v>290</v>
      </c>
      <c r="B2" s="108" t="s">
        <v>101</v>
      </c>
      <c r="C2" s="108" t="s">
        <v>292</v>
      </c>
      <c r="D2" s="108" t="s">
        <v>97</v>
      </c>
      <c r="E2" s="108" t="s">
        <v>96</v>
      </c>
      <c r="G2" s="106" t="s">
        <v>115</v>
      </c>
      <c r="H2" s="108" t="s">
        <v>76</v>
      </c>
      <c r="I2" s="108" t="s">
        <v>153</v>
      </c>
      <c r="J2" s="108" t="s">
        <v>97</v>
      </c>
    </row>
    <row r="3" spans="1:10" x14ac:dyDescent="0.3">
      <c r="A3" s="73" t="s">
        <v>211</v>
      </c>
      <c r="B3" s="101">
        <v>1</v>
      </c>
      <c r="C3" s="223">
        <v>0.5</v>
      </c>
      <c r="D3" s="6"/>
      <c r="E3" s="99" t="str">
        <f>IF(OR(C3&lt;=0,C3&gt;1),"PLEASE ENTER CONTRIBUTION BETWEEN 0-100%","Fraction of heat demand to be provided by biomass")</f>
        <v>Fraction of heat demand to be provided by biomass</v>
      </c>
      <c r="G3" s="77" t="s">
        <v>146</v>
      </c>
      <c r="H3" s="146">
        <f>Baseline!H3</f>
        <v>187500</v>
      </c>
      <c r="I3" s="81">
        <f>Biomass_DCF!H20</f>
        <v>93750</v>
      </c>
      <c r="J3" s="77" t="s">
        <v>32</v>
      </c>
    </row>
    <row r="4" spans="1:10" x14ac:dyDescent="0.3">
      <c r="A4" s="72" t="s">
        <v>5</v>
      </c>
      <c r="B4" s="102" t="s">
        <v>98</v>
      </c>
      <c r="C4" s="210">
        <v>5000</v>
      </c>
      <c r="D4" s="6" t="s">
        <v>6</v>
      </c>
      <c r="E4" s="99" t="s">
        <v>257</v>
      </c>
      <c r="G4" s="77" t="s">
        <v>147</v>
      </c>
      <c r="H4" s="194" t="str">
        <f>Baseline!H4</f>
        <v>n/a</v>
      </c>
      <c r="I4" s="81">
        <f>Biomass_DCF!D20</f>
        <v>93750</v>
      </c>
      <c r="J4" s="77" t="s">
        <v>32</v>
      </c>
    </row>
    <row r="5" spans="1:10" s="170" customFormat="1" x14ac:dyDescent="0.3">
      <c r="A5" s="72" t="s">
        <v>186</v>
      </c>
      <c r="B5" s="143">
        <v>0.8</v>
      </c>
      <c r="C5" s="307">
        <f>Biomass_DCF!B3</f>
        <v>0.4756468797564688</v>
      </c>
      <c r="D5" s="6"/>
      <c r="E5" s="99" t="s">
        <v>260</v>
      </c>
      <c r="F5" s="163"/>
      <c r="G5" s="77" t="s">
        <v>144</v>
      </c>
      <c r="H5" s="146">
        <f>Baseline!H5</f>
        <v>1875000</v>
      </c>
      <c r="I5" s="82">
        <f>Biomass_DCF!F21</f>
        <v>937500</v>
      </c>
      <c r="J5" s="77"/>
    </row>
    <row r="6" spans="1:10" ht="15" customHeight="1" x14ac:dyDescent="0.3">
      <c r="A6" s="72" t="s">
        <v>133</v>
      </c>
      <c r="B6" s="105" t="s">
        <v>98</v>
      </c>
      <c r="C6" s="211">
        <f>H18</f>
        <v>8189801.3995041018</v>
      </c>
      <c r="D6" s="83"/>
      <c r="E6" s="99" t="s">
        <v>202</v>
      </c>
      <c r="G6" s="77" t="s">
        <v>145</v>
      </c>
      <c r="H6" s="194" t="str">
        <f>Baseline!H6</f>
        <v>n/a</v>
      </c>
      <c r="I6" s="82">
        <f>Biomass_DCF!B21</f>
        <v>468750</v>
      </c>
      <c r="J6" s="77"/>
    </row>
    <row r="7" spans="1:10" ht="28.8" x14ac:dyDescent="0.3">
      <c r="A7" s="73" t="s">
        <v>156</v>
      </c>
      <c r="B7" s="103">
        <v>0</v>
      </c>
      <c r="C7" s="212">
        <v>0</v>
      </c>
      <c r="D7" s="83" t="s">
        <v>21</v>
      </c>
      <c r="E7" s="72" t="s">
        <v>208</v>
      </c>
      <c r="G7" s="77" t="s">
        <v>31</v>
      </c>
      <c r="H7" s="146">
        <f>Baseline!H7</f>
        <v>150000</v>
      </c>
      <c r="I7" s="81">
        <f>Biomass_DCF!L22</f>
        <v>150000</v>
      </c>
      <c r="J7" s="77" t="s">
        <v>32</v>
      </c>
    </row>
    <row r="8" spans="1:10" x14ac:dyDescent="0.3">
      <c r="A8" s="318" t="s">
        <v>22</v>
      </c>
      <c r="B8" s="104">
        <v>0.02</v>
      </c>
      <c r="C8" s="213">
        <v>0.02</v>
      </c>
      <c r="D8" s="83" t="s">
        <v>94</v>
      </c>
      <c r="E8" s="320" t="s">
        <v>123</v>
      </c>
      <c r="G8" s="77" t="s">
        <v>173</v>
      </c>
      <c r="H8" s="195">
        <f>Baseline!H9</f>
        <v>12.500000000000014</v>
      </c>
      <c r="I8" s="238">
        <f>Biomass_DCF!L38</f>
        <v>16.26693102178286</v>
      </c>
      <c r="J8" s="77" t="s">
        <v>21</v>
      </c>
    </row>
    <row r="9" spans="1:10" ht="28.8" x14ac:dyDescent="0.3">
      <c r="A9" s="319"/>
      <c r="B9" s="250" t="s">
        <v>98</v>
      </c>
      <c r="C9" s="310">
        <f>C8*C6</f>
        <v>163796.02799008205</v>
      </c>
      <c r="D9" s="83" t="s">
        <v>14</v>
      </c>
      <c r="E9" s="321"/>
      <c r="G9" s="189" t="s">
        <v>174</v>
      </c>
      <c r="H9" s="196">
        <f>Baseline!H10</f>
        <v>12.500000000000014</v>
      </c>
      <c r="I9" s="280">
        <f>Biomass_DCF!L39</f>
        <v>16.26693102178286</v>
      </c>
      <c r="J9" s="189" t="s">
        <v>21</v>
      </c>
    </row>
    <row r="10" spans="1:10" ht="28.8" x14ac:dyDescent="0.3">
      <c r="A10" s="73" t="s">
        <v>24</v>
      </c>
      <c r="B10" s="105" t="s">
        <v>98</v>
      </c>
      <c r="C10" s="225">
        <v>5</v>
      </c>
      <c r="D10" s="83" t="s">
        <v>21</v>
      </c>
      <c r="E10" s="99" t="s">
        <v>249</v>
      </c>
      <c r="G10" s="77" t="s">
        <v>142</v>
      </c>
      <c r="H10" s="146">
        <f>Baseline!H11</f>
        <v>1875000.0000000021</v>
      </c>
      <c r="I10" s="82">
        <f>I7*I8</f>
        <v>2440039.6532674287</v>
      </c>
      <c r="J10" s="77" t="s">
        <v>14</v>
      </c>
    </row>
    <row r="11" spans="1:10" x14ac:dyDescent="0.3">
      <c r="A11" s="73" t="s">
        <v>25</v>
      </c>
      <c r="B11" s="191">
        <v>2.5000000000000001E-2</v>
      </c>
      <c r="C11" s="214">
        <v>2.5000000000000001E-2</v>
      </c>
      <c r="D11" s="83" t="s">
        <v>14</v>
      </c>
      <c r="E11" s="99" t="s">
        <v>124</v>
      </c>
      <c r="G11" s="189" t="s">
        <v>119</v>
      </c>
      <c r="H11" s="190" t="str">
        <f>Baseline!H12</f>
        <v>n/a</v>
      </c>
      <c r="I11" s="281">
        <f>IRR(Biomass_DCF!Z49:Z89)</f>
        <v>-4.8396945511993916E-2</v>
      </c>
      <c r="J11" s="189" t="s">
        <v>14</v>
      </c>
    </row>
    <row r="12" spans="1:10" x14ac:dyDescent="0.3">
      <c r="A12" s="73" t="s">
        <v>26</v>
      </c>
      <c r="B12" s="143">
        <v>0.8</v>
      </c>
      <c r="C12" s="215">
        <v>0.8</v>
      </c>
      <c r="D12" s="83"/>
      <c r="E12" s="99" t="s">
        <v>258</v>
      </c>
      <c r="G12" s="77" t="s">
        <v>120</v>
      </c>
      <c r="H12" s="146" t="str">
        <f>Baseline!H13</f>
        <v>n/a</v>
      </c>
      <c r="I12" s="282">
        <f>SUM(Biomass_DCF!AA49:AA89)</f>
        <v>-5841311.0764286565</v>
      </c>
      <c r="J12" s="77"/>
    </row>
    <row r="13" spans="1:10" ht="19.8" x14ac:dyDescent="0.3">
      <c r="A13" s="255"/>
      <c r="B13" s="283" t="str">
        <f>IF('General Parameters'!C4*1000*C3&gt;C4,"BIOMASS BOILER TOO SMALL TO MEET HEAT CONTRIBUTION","")</f>
        <v/>
      </c>
      <c r="C13" s="108"/>
      <c r="D13" s="108"/>
      <c r="E13" s="255"/>
      <c r="I13" s="163"/>
      <c r="J13" s="163"/>
    </row>
    <row r="14" spans="1:10" ht="19.8" x14ac:dyDescent="0.3">
      <c r="A14" s="253" t="s">
        <v>182</v>
      </c>
      <c r="B14" s="283" t="str">
        <f>IF('General Parameters'!C4*1000&gt;(C4+C15),"TOTAL CAPACITY TOO SMALL TO MEET HEAT DEMAND","")</f>
        <v/>
      </c>
      <c r="C14" s="108"/>
      <c r="D14" s="108"/>
      <c r="E14" s="255"/>
      <c r="G14" s="106" t="s">
        <v>291</v>
      </c>
      <c r="H14" s="106"/>
      <c r="I14" s="163"/>
      <c r="J14" s="163"/>
    </row>
    <row r="15" spans="1:10" x14ac:dyDescent="0.3">
      <c r="A15" s="73" t="s">
        <v>5</v>
      </c>
      <c r="B15" s="102" t="s">
        <v>98</v>
      </c>
      <c r="C15" s="224">
        <v>5000</v>
      </c>
      <c r="D15" s="6" t="s">
        <v>6</v>
      </c>
      <c r="E15" s="256" t="str">
        <f>IF(C15*8760*0.0036&lt;H7*(1-C3),"BOILER TOO SMALL TO MEET HEAT DEMAND","Thermal power rating of boiler")</f>
        <v>Thermal power rating of boiler</v>
      </c>
      <c r="G15" s="256" t="s">
        <v>155</v>
      </c>
      <c r="H15" s="285">
        <f>C4</f>
        <v>5000</v>
      </c>
      <c r="I15" s="163"/>
      <c r="J15" s="163"/>
    </row>
    <row r="16" spans="1:10" x14ac:dyDescent="0.3">
      <c r="A16" s="73" t="s">
        <v>186</v>
      </c>
      <c r="B16" s="105" t="s">
        <v>107</v>
      </c>
      <c r="C16" s="311">
        <f>Biomass_DCF!F3</f>
        <v>0.4756468797564688</v>
      </c>
      <c r="D16" s="83"/>
      <c r="E16" s="72" t="s">
        <v>260</v>
      </c>
      <c r="G16" s="256" t="s">
        <v>154</v>
      </c>
      <c r="H16" s="286">
        <f>IFERROR(((C4/1000)*2737000*(C4/1000)^-0.319)/C4,0)</f>
        <v>1637.9602799008203</v>
      </c>
      <c r="I16" s="163"/>
      <c r="J16" s="163"/>
    </row>
    <row r="17" spans="1:10" ht="57.6" x14ac:dyDescent="0.3">
      <c r="A17" s="72" t="s">
        <v>133</v>
      </c>
      <c r="B17" s="105" t="s">
        <v>98</v>
      </c>
      <c r="C17" s="266">
        <v>1214365</v>
      </c>
      <c r="D17" s="100"/>
      <c r="E17" s="99" t="s">
        <v>206</v>
      </c>
      <c r="G17" s="256" t="s">
        <v>149</v>
      </c>
      <c r="H17" s="287">
        <v>1</v>
      </c>
      <c r="I17" s="163"/>
      <c r="J17" s="163"/>
    </row>
    <row r="18" spans="1:10" ht="28.8" x14ac:dyDescent="0.3">
      <c r="A18" s="73" t="s">
        <v>156</v>
      </c>
      <c r="B18" s="115">
        <v>0</v>
      </c>
      <c r="C18" s="225">
        <v>0</v>
      </c>
      <c r="D18" s="83" t="s">
        <v>21</v>
      </c>
      <c r="E18" s="99" t="s">
        <v>208</v>
      </c>
      <c r="G18" s="256" t="s">
        <v>133</v>
      </c>
      <c r="H18" s="286">
        <f>H16*C4*H17</f>
        <v>8189801.3995041018</v>
      </c>
      <c r="I18" s="167"/>
      <c r="J18" s="167"/>
    </row>
    <row r="19" spans="1:10" ht="19.8" x14ac:dyDescent="0.3">
      <c r="A19" s="318" t="s">
        <v>22</v>
      </c>
      <c r="B19" s="104">
        <v>0.02</v>
      </c>
      <c r="C19" s="213">
        <v>0.02</v>
      </c>
      <c r="D19" s="83" t="s">
        <v>94</v>
      </c>
      <c r="E19" s="322" t="s">
        <v>104</v>
      </c>
      <c r="G19" s="106" t="s">
        <v>183</v>
      </c>
      <c r="H19" s="106"/>
      <c r="I19" s="163"/>
      <c r="J19" s="163"/>
    </row>
    <row r="20" spans="1:10" x14ac:dyDescent="0.3">
      <c r="A20" s="319"/>
      <c r="B20" s="251" t="s">
        <v>98</v>
      </c>
      <c r="C20" s="309">
        <f>C19*C17</f>
        <v>24287.3</v>
      </c>
      <c r="D20" s="83" t="s">
        <v>14</v>
      </c>
      <c r="E20" s="323"/>
      <c r="G20" s="256" t="s">
        <v>155</v>
      </c>
      <c r="H20" s="285">
        <f>C15</f>
        <v>5000</v>
      </c>
      <c r="I20" s="163"/>
      <c r="J20" s="163"/>
    </row>
    <row r="21" spans="1:10" x14ac:dyDescent="0.3">
      <c r="A21" s="73" t="s">
        <v>24</v>
      </c>
      <c r="B21" s="103">
        <v>5</v>
      </c>
      <c r="C21" s="212">
        <v>10</v>
      </c>
      <c r="D21" s="83" t="s">
        <v>21</v>
      </c>
      <c r="E21" s="99" t="s">
        <v>285</v>
      </c>
      <c r="G21" s="256" t="s">
        <v>154</v>
      </c>
      <c r="H21" s="286">
        <f>IFERROR(((C15/1000)*400000*(C15/1000)^-0.31)/C15,0)</f>
        <v>242.8730294552355</v>
      </c>
      <c r="I21" s="163"/>
      <c r="J21" s="163"/>
    </row>
    <row r="22" spans="1:10" ht="27.6" customHeight="1" x14ac:dyDescent="0.3">
      <c r="A22" s="73" t="s">
        <v>25</v>
      </c>
      <c r="B22" s="104">
        <v>2.5000000000000001E-2</v>
      </c>
      <c r="C22" s="213">
        <v>2.5000000000000001E-2</v>
      </c>
      <c r="D22" s="83" t="s">
        <v>14</v>
      </c>
      <c r="E22" s="256" t="s">
        <v>106</v>
      </c>
      <c r="G22" s="256" t="s">
        <v>210</v>
      </c>
      <c r="H22" s="287">
        <v>1</v>
      </c>
      <c r="I22" s="163"/>
      <c r="J22" s="163"/>
    </row>
    <row r="23" spans="1:10" x14ac:dyDescent="0.3">
      <c r="A23" s="73" t="s">
        <v>26</v>
      </c>
      <c r="B23" s="101">
        <v>0.8</v>
      </c>
      <c r="C23" s="226">
        <v>0.8</v>
      </c>
      <c r="D23" s="284"/>
      <c r="E23" s="256" t="s">
        <v>258</v>
      </c>
      <c r="G23" s="256" t="s">
        <v>148</v>
      </c>
      <c r="H23" s="286">
        <f>H21*C15*H22</f>
        <v>1214365.1472761775</v>
      </c>
      <c r="I23" s="163"/>
      <c r="J23" s="163"/>
    </row>
    <row r="24" spans="1:10" ht="20.25" customHeight="1" x14ac:dyDescent="0.3">
      <c r="A24" s="254" t="s">
        <v>143</v>
      </c>
      <c r="B24" s="130"/>
      <c r="C24" s="133">
        <f>C17+C6</f>
        <v>9404166.3995041028</v>
      </c>
      <c r="D24" s="130"/>
      <c r="E24" s="106"/>
      <c r="G24" s="106" t="s">
        <v>277</v>
      </c>
      <c r="H24" s="106"/>
      <c r="I24" s="175"/>
      <c r="J24" s="163"/>
    </row>
    <row r="25" spans="1:10" x14ac:dyDescent="0.3">
      <c r="C25" s="163"/>
      <c r="D25" s="163"/>
      <c r="G25" s="256" t="s">
        <v>278</v>
      </c>
      <c r="H25" s="256">
        <v>10</v>
      </c>
      <c r="I25" s="163"/>
    </row>
    <row r="26" spans="1:10" x14ac:dyDescent="0.3">
      <c r="C26" s="163"/>
      <c r="D26" s="163"/>
      <c r="G26" s="256" t="s">
        <v>279</v>
      </c>
      <c r="H26" s="256">
        <v>16</v>
      </c>
      <c r="I26" s="163"/>
    </row>
    <row r="27" spans="1:10" x14ac:dyDescent="0.3">
      <c r="G27" s="256" t="s">
        <v>280</v>
      </c>
      <c r="H27" s="256">
        <v>30</v>
      </c>
      <c r="I27" s="163"/>
    </row>
    <row r="28" spans="1:10" x14ac:dyDescent="0.3">
      <c r="G28" s="256" t="s">
        <v>281</v>
      </c>
      <c r="H28" s="256">
        <v>48</v>
      </c>
      <c r="I28" s="163"/>
    </row>
    <row r="29" spans="1:10" x14ac:dyDescent="0.3">
      <c r="G29" s="256" t="s">
        <v>282</v>
      </c>
      <c r="H29" s="256">
        <v>55</v>
      </c>
      <c r="I29" s="163"/>
    </row>
  </sheetData>
  <sheetProtection algorithmName="SHA-512" hashValue="V8c94QyfF9aZcOkLV0NLFi8VM+a+SQ589AV41J/UDV5SJLfXsQZnlUMlSuk6uxUqLyj11tH0zf0uLneL9yRSrQ==" saltValue="bjOP3aqx60ggpbEv27ICOw==" spinCount="100000" sheet="1" objects="1" scenarios="1" selectLockedCells="1"/>
  <mergeCells count="4">
    <mergeCell ref="A8:A9"/>
    <mergeCell ref="E8:E9"/>
    <mergeCell ref="A19:A20"/>
    <mergeCell ref="E19:E20"/>
  </mergeCells>
  <pageMargins left="0.25" right="0.25" top="0.75" bottom="0.75" header="0.3" footer="0.3"/>
  <pageSetup paperSize="9" orientation="landscape" horizontalDpi="300"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L34"/>
  <sheetViews>
    <sheetView zoomScale="90" zoomScaleNormal="90" workbookViewId="0">
      <selection activeCell="C3" sqref="C3"/>
    </sheetView>
  </sheetViews>
  <sheetFormatPr defaultColWidth="9.109375" defaultRowHeight="14.4" x14ac:dyDescent="0.3"/>
  <cols>
    <col min="1" max="1" width="27.88671875" style="163" customWidth="1"/>
    <col min="2" max="2" width="14" style="165" bestFit="1" customWidth="1"/>
    <col min="3" max="3" width="12.6640625" style="163" bestFit="1" customWidth="1"/>
    <col min="4" max="4" width="10.109375" style="163" bestFit="1" customWidth="1"/>
    <col min="5" max="5" width="69.5546875" style="163" customWidth="1"/>
    <col min="6" max="6" width="2.77734375" style="163" customWidth="1"/>
    <col min="7" max="7" width="36.5546875" style="163" customWidth="1"/>
    <col min="8" max="8" width="14.88671875" style="163" customWidth="1"/>
    <col min="9" max="9" width="13.33203125" style="163" customWidth="1"/>
    <col min="10" max="10" width="10.109375" style="163" bestFit="1" customWidth="1"/>
    <col min="11" max="12" width="13.33203125" style="163" customWidth="1"/>
    <col min="13" max="13" width="19.44140625" style="163" bestFit="1" customWidth="1"/>
    <col min="14" max="16384" width="9.109375" style="163"/>
  </cols>
  <sheetData>
    <row r="1" spans="1:12" ht="57.6" customHeight="1" x14ac:dyDescent="0.3"/>
    <row r="2" spans="1:12" ht="43.2" x14ac:dyDescent="0.3">
      <c r="A2" s="106" t="s">
        <v>250</v>
      </c>
      <c r="B2" s="108" t="s">
        <v>101</v>
      </c>
      <c r="C2" s="108" t="s">
        <v>292</v>
      </c>
      <c r="D2" s="108" t="s">
        <v>97</v>
      </c>
      <c r="E2" s="108" t="s">
        <v>96</v>
      </c>
      <c r="G2" s="106" t="s">
        <v>115</v>
      </c>
      <c r="H2" s="108" t="s">
        <v>76</v>
      </c>
      <c r="I2" s="193" t="s">
        <v>121</v>
      </c>
      <c r="J2" s="108" t="s">
        <v>97</v>
      </c>
    </row>
    <row r="3" spans="1:12" ht="28.8" x14ac:dyDescent="0.3">
      <c r="A3" s="73" t="s">
        <v>211</v>
      </c>
      <c r="B3" s="259">
        <v>1</v>
      </c>
      <c r="C3" s="260">
        <v>0.5</v>
      </c>
      <c r="D3" s="83"/>
      <c r="E3" s="72" t="str">
        <f>IF(OR(C3&lt;=0,C3&gt;1),"PLEASE ENTER CONTRIBUTION BETWEEN 0-100%","Fraction of heat demand to be provided by solar (Choose desired value, but note values above 80% are not realistic )")</f>
        <v>Fraction of heat demand to be provided by solar (Choose desired value, but note values above 80% are not realistic )</v>
      </c>
      <c r="G3" s="77" t="s">
        <v>146</v>
      </c>
      <c r="H3" s="146">
        <f>Baseline!H3</f>
        <v>187500</v>
      </c>
      <c r="I3" s="81">
        <f>Solar_DCF!L20</f>
        <v>93750</v>
      </c>
      <c r="J3" s="77" t="s">
        <v>32</v>
      </c>
    </row>
    <row r="4" spans="1:12" x14ac:dyDescent="0.3">
      <c r="A4" s="73" t="s">
        <v>7</v>
      </c>
      <c r="B4" s="192" t="s">
        <v>98</v>
      </c>
      <c r="C4" s="257">
        <f>H33</f>
        <v>0.33021899528714405</v>
      </c>
      <c r="D4" s="83"/>
      <c r="E4" s="72" t="s">
        <v>260</v>
      </c>
      <c r="G4" s="77"/>
      <c r="H4" s="146"/>
      <c r="I4" s="81"/>
      <c r="J4" s="77"/>
    </row>
    <row r="5" spans="1:12" ht="28.8" x14ac:dyDescent="0.3">
      <c r="A5" s="72" t="s">
        <v>5</v>
      </c>
      <c r="B5" s="105" t="s">
        <v>98</v>
      </c>
      <c r="C5" s="228">
        <f>H34</f>
        <v>7201.9915048022458</v>
      </c>
      <c r="D5" s="83" t="s">
        <v>6</v>
      </c>
      <c r="E5" s="72" t="s">
        <v>203</v>
      </c>
      <c r="G5" s="189" t="s">
        <v>147</v>
      </c>
      <c r="H5" s="229" t="str">
        <f>Baseline!H4</f>
        <v>n/a</v>
      </c>
      <c r="I5" s="230">
        <f>Solar_DCF!B20</f>
        <v>0</v>
      </c>
      <c r="J5" s="189" t="s">
        <v>32</v>
      </c>
      <c r="K5" s="175"/>
    </row>
    <row r="6" spans="1:12" x14ac:dyDescent="0.3">
      <c r="A6" s="72" t="s">
        <v>133</v>
      </c>
      <c r="B6" s="105" t="s">
        <v>98</v>
      </c>
      <c r="C6" s="261">
        <f>H21</f>
        <v>3740877.3967372137</v>
      </c>
      <c r="D6" s="83"/>
      <c r="E6" s="72" t="s">
        <v>184</v>
      </c>
      <c r="G6" s="77" t="s">
        <v>144</v>
      </c>
      <c r="H6" s="146">
        <f>Baseline!H5</f>
        <v>1875000</v>
      </c>
      <c r="I6" s="82">
        <f>Solar_DCF!J21</f>
        <v>937500</v>
      </c>
      <c r="J6" s="77"/>
      <c r="L6" s="176"/>
    </row>
    <row r="7" spans="1:12" ht="28.8" x14ac:dyDescent="0.3">
      <c r="A7" s="73" t="s">
        <v>156</v>
      </c>
      <c r="B7" s="115">
        <v>0</v>
      </c>
      <c r="C7" s="225">
        <v>0</v>
      </c>
      <c r="D7" s="83" t="s">
        <v>21</v>
      </c>
      <c r="E7" s="72" t="s">
        <v>208</v>
      </c>
      <c r="G7" s="77" t="s">
        <v>145</v>
      </c>
      <c r="H7" s="201" t="str">
        <f>Baseline!H6</f>
        <v>n/a</v>
      </c>
      <c r="I7" s="82">
        <f>Solar_DCF!B21</f>
        <v>0</v>
      </c>
      <c r="J7" s="77"/>
    </row>
    <row r="8" spans="1:12" x14ac:dyDescent="0.3">
      <c r="A8" s="324" t="s">
        <v>22</v>
      </c>
      <c r="B8" s="236">
        <v>0.02</v>
      </c>
      <c r="C8" s="262">
        <v>0.02</v>
      </c>
      <c r="D8" s="83" t="s">
        <v>94</v>
      </c>
      <c r="E8" s="324" t="s">
        <v>123</v>
      </c>
      <c r="G8" s="77" t="s">
        <v>31</v>
      </c>
      <c r="H8" s="146">
        <f>Baseline!H7</f>
        <v>150000</v>
      </c>
      <c r="I8" s="81">
        <f>Solar_DCF!L22</f>
        <v>150000</v>
      </c>
      <c r="J8" s="77" t="s">
        <v>32</v>
      </c>
    </row>
    <row r="9" spans="1:12" x14ac:dyDescent="0.3">
      <c r="A9" s="325"/>
      <c r="B9" s="105" t="s">
        <v>98</v>
      </c>
      <c r="C9" s="312">
        <f>C8*C6</f>
        <v>74817.547934744274</v>
      </c>
      <c r="D9" s="83" t="s">
        <v>14</v>
      </c>
      <c r="E9" s="325"/>
      <c r="G9" s="77" t="s">
        <v>173</v>
      </c>
      <c r="H9" s="195">
        <f>Baseline!H9</f>
        <v>12.500000000000014</v>
      </c>
      <c r="I9" s="197">
        <f>Solar_DCF!L38</f>
        <v>9.8814956965611529</v>
      </c>
      <c r="J9" s="77" t="s">
        <v>21</v>
      </c>
    </row>
    <row r="10" spans="1:12" ht="30" customHeight="1" x14ac:dyDescent="0.3">
      <c r="A10" s="73" t="s">
        <v>24</v>
      </c>
      <c r="B10" s="105" t="s">
        <v>107</v>
      </c>
      <c r="C10" s="188" t="s">
        <v>107</v>
      </c>
      <c r="D10" s="83" t="s">
        <v>21</v>
      </c>
      <c r="E10" s="72" t="s">
        <v>138</v>
      </c>
      <c r="G10" s="77" t="s">
        <v>199</v>
      </c>
      <c r="H10" s="196">
        <f>Baseline!H10</f>
        <v>12.500000000000014</v>
      </c>
      <c r="I10" s="198">
        <f>Solar_DCF!L39</f>
        <v>9.8814956965611529</v>
      </c>
      <c r="J10" s="189" t="s">
        <v>21</v>
      </c>
    </row>
    <row r="11" spans="1:12" x14ac:dyDescent="0.3">
      <c r="A11" s="73" t="s">
        <v>25</v>
      </c>
      <c r="B11" s="105" t="s">
        <v>107</v>
      </c>
      <c r="C11" s="188" t="s">
        <v>107</v>
      </c>
      <c r="D11" s="83" t="s">
        <v>14</v>
      </c>
      <c r="E11" s="73" t="s">
        <v>234</v>
      </c>
      <c r="G11" s="77" t="s">
        <v>142</v>
      </c>
      <c r="H11" s="146">
        <f>Baseline!H11</f>
        <v>1875000.0000000021</v>
      </c>
      <c r="I11" s="199">
        <f>I8*I9</f>
        <v>1482224.354484173</v>
      </c>
      <c r="J11" s="77" t="s">
        <v>14</v>
      </c>
    </row>
    <row r="12" spans="1:12" x14ac:dyDescent="0.3">
      <c r="A12" s="73" t="s">
        <v>26</v>
      </c>
      <c r="B12" s="105" t="s">
        <v>107</v>
      </c>
      <c r="C12" s="188" t="s">
        <v>107</v>
      </c>
      <c r="D12" s="83"/>
      <c r="E12" s="73" t="s">
        <v>261</v>
      </c>
      <c r="G12" s="189" t="s">
        <v>119</v>
      </c>
      <c r="H12" s="190" t="str">
        <f>Baseline!H12</f>
        <v>n/a</v>
      </c>
      <c r="I12" s="202">
        <f>IRR(Solar_DCF!Z49:Z89)</f>
        <v>0.27243256228123669</v>
      </c>
      <c r="J12" s="189" t="s">
        <v>14</v>
      </c>
    </row>
    <row r="13" spans="1:12" ht="19.8" x14ac:dyDescent="0.3">
      <c r="A13" s="106" t="s">
        <v>112</v>
      </c>
      <c r="B13" s="130" t="str">
        <f>IF(C15&gt;1,"BACKUP BOILER TOO SMALL TO MEET HEAT DEMAND","")</f>
        <v/>
      </c>
      <c r="C13" s="130"/>
      <c r="D13" s="130"/>
      <c r="E13" s="130"/>
      <c r="G13" s="77" t="s">
        <v>120</v>
      </c>
      <c r="H13" s="146" t="str">
        <f>Baseline!H13</f>
        <v>n/a</v>
      </c>
      <c r="I13" s="82">
        <f>SUM(Solar_DCF!AA49:AA89)</f>
        <v>4060466.7573961355</v>
      </c>
      <c r="J13" s="77"/>
    </row>
    <row r="14" spans="1:12" x14ac:dyDescent="0.3">
      <c r="A14" s="73" t="s">
        <v>5</v>
      </c>
      <c r="B14" s="105" t="s">
        <v>98</v>
      </c>
      <c r="C14" s="264">
        <v>5000</v>
      </c>
      <c r="D14" s="83" t="s">
        <v>6</v>
      </c>
      <c r="E14" s="73" t="str">
        <f>IF(C14*8760*0.0036&lt;H8*(1-C3),"BOILER TOO SMALL TO MEET HEAT DEMAND","Thermal power rating of boiler")</f>
        <v>Thermal power rating of boiler</v>
      </c>
    </row>
    <row r="15" spans="1:12" x14ac:dyDescent="0.3">
      <c r="A15" s="73" t="s">
        <v>186</v>
      </c>
      <c r="B15" s="105" t="s">
        <v>107</v>
      </c>
      <c r="C15" s="311">
        <f>Solar_DCF!F3</f>
        <v>0.4756468797564688</v>
      </c>
      <c r="D15" s="83"/>
      <c r="E15" s="72" t="s">
        <v>260</v>
      </c>
    </row>
    <row r="16" spans="1:12" ht="63" x14ac:dyDescent="0.3">
      <c r="A16" s="72" t="s">
        <v>133</v>
      </c>
      <c r="B16" s="105" t="s">
        <v>98</v>
      </c>
      <c r="C16" s="211">
        <f>H26</f>
        <v>1214365.1472761775</v>
      </c>
      <c r="D16" s="100"/>
      <c r="E16" s="99" t="s">
        <v>207</v>
      </c>
      <c r="G16" s="296" t="s">
        <v>293</v>
      </c>
      <c r="H16" s="106"/>
    </row>
    <row r="17" spans="1:12" ht="28.8" x14ac:dyDescent="0.3">
      <c r="A17" s="73" t="s">
        <v>156</v>
      </c>
      <c r="B17" s="115">
        <v>0</v>
      </c>
      <c r="C17" s="225">
        <v>0</v>
      </c>
      <c r="D17" s="83" t="s">
        <v>21</v>
      </c>
      <c r="E17" s="72" t="s">
        <v>208</v>
      </c>
      <c r="G17" s="73" t="s">
        <v>155</v>
      </c>
      <c r="H17" s="293">
        <f>H34</f>
        <v>7201.9915048022458</v>
      </c>
    </row>
    <row r="18" spans="1:12" s="167" customFormat="1" x14ac:dyDescent="0.3">
      <c r="A18" s="320" t="s">
        <v>22</v>
      </c>
      <c r="B18" s="236">
        <v>0.02</v>
      </c>
      <c r="C18" s="262">
        <v>0.02</v>
      </c>
      <c r="D18" s="83" t="s">
        <v>94</v>
      </c>
      <c r="E18" s="322" t="s">
        <v>104</v>
      </c>
      <c r="F18" s="163"/>
      <c r="G18" s="73" t="s">
        <v>215</v>
      </c>
      <c r="H18" s="289">
        <f>'General Parameters'!C5</f>
        <v>100</v>
      </c>
    </row>
    <row r="19" spans="1:12" x14ac:dyDescent="0.3">
      <c r="A19" s="321"/>
      <c r="B19" s="250" t="s">
        <v>98</v>
      </c>
      <c r="C19" s="312">
        <f>C18*C16</f>
        <v>24287.302945523552</v>
      </c>
      <c r="D19" s="83" t="s">
        <v>14</v>
      </c>
      <c r="E19" s="323"/>
      <c r="G19" s="73" t="s">
        <v>154</v>
      </c>
      <c r="H19" s="286">
        <f>IFERROR('Solar Calculator'!B30+'General Parameters'!C5*'Solar Calculator'!B31,0)</f>
        <v>519.42263389825143</v>
      </c>
    </row>
    <row r="20" spans="1:12" ht="28.8" x14ac:dyDescent="0.3">
      <c r="A20" s="73" t="s">
        <v>24</v>
      </c>
      <c r="B20" s="115">
        <v>5</v>
      </c>
      <c r="C20" s="225">
        <v>10</v>
      </c>
      <c r="D20" s="83" t="s">
        <v>21</v>
      </c>
      <c r="E20" s="73" t="s">
        <v>105</v>
      </c>
      <c r="G20" s="72" t="s">
        <v>210</v>
      </c>
      <c r="H20" s="287">
        <v>1</v>
      </c>
    </row>
    <row r="21" spans="1:12" x14ac:dyDescent="0.3">
      <c r="A21" s="73" t="s">
        <v>25</v>
      </c>
      <c r="B21" s="236">
        <v>2.5000000000000001E-2</v>
      </c>
      <c r="C21" s="262">
        <v>2.5000000000000001E-2</v>
      </c>
      <c r="D21" s="83" t="s">
        <v>14</v>
      </c>
      <c r="E21" s="73" t="s">
        <v>106</v>
      </c>
      <c r="G21" s="73" t="s">
        <v>133</v>
      </c>
      <c r="H21" s="286">
        <f>H19*H34*H20</f>
        <v>3740877.3967372137</v>
      </c>
    </row>
    <row r="22" spans="1:12" ht="15" customHeight="1" x14ac:dyDescent="0.3">
      <c r="A22" s="73" t="s">
        <v>26</v>
      </c>
      <c r="B22" s="259">
        <v>0.8</v>
      </c>
      <c r="C22" s="265">
        <v>0.8</v>
      </c>
      <c r="D22" s="83"/>
      <c r="E22" s="73" t="s">
        <v>113</v>
      </c>
      <c r="G22" s="106" t="s">
        <v>117</v>
      </c>
      <c r="H22" s="106"/>
    </row>
    <row r="23" spans="1:12" ht="19.8" x14ac:dyDescent="0.3">
      <c r="A23" s="130" t="s">
        <v>143</v>
      </c>
      <c r="B23" s="130"/>
      <c r="C23" s="133">
        <f>C16+C6</f>
        <v>4955242.5440133912</v>
      </c>
      <c r="D23" s="130"/>
      <c r="E23" s="131"/>
      <c r="G23" s="72" t="s">
        <v>155</v>
      </c>
      <c r="H23" s="293">
        <f>C14</f>
        <v>5000</v>
      </c>
      <c r="J23" s="174"/>
      <c r="K23" s="174"/>
      <c r="L23" s="174"/>
    </row>
    <row r="24" spans="1:12" x14ac:dyDescent="0.3">
      <c r="A24" s="165"/>
      <c r="G24" s="72" t="s">
        <v>154</v>
      </c>
      <c r="H24" s="294">
        <f>IFERROR(((C14/1000)*400000*(C14/1000)^-0.31)/C14,0)</f>
        <v>242.8730294552355</v>
      </c>
    </row>
    <row r="25" spans="1:12" ht="28.2" customHeight="1" x14ac:dyDescent="0.3">
      <c r="A25" s="106" t="s">
        <v>134</v>
      </c>
      <c r="B25" s="106"/>
      <c r="C25" s="106"/>
      <c r="D25" s="106"/>
      <c r="E25" s="106"/>
      <c r="G25" s="72" t="s">
        <v>210</v>
      </c>
      <c r="H25" s="287">
        <v>1</v>
      </c>
    </row>
    <row r="26" spans="1:12" x14ac:dyDescent="0.3">
      <c r="A26" s="316" t="s">
        <v>185</v>
      </c>
      <c r="B26" s="316"/>
      <c r="C26" s="316"/>
      <c r="D26" s="316"/>
      <c r="E26" s="316"/>
      <c r="G26" s="72" t="s">
        <v>148</v>
      </c>
      <c r="H26" s="295">
        <f>H24*C14*H25</f>
        <v>1214365.1472761775</v>
      </c>
    </row>
    <row r="27" spans="1:12" x14ac:dyDescent="0.3">
      <c r="A27" s="316"/>
      <c r="B27" s="316"/>
      <c r="C27" s="316"/>
      <c r="D27" s="316"/>
      <c r="E27" s="316"/>
    </row>
    <row r="28" spans="1:12" ht="1.2" customHeight="1" x14ac:dyDescent="0.3">
      <c r="A28" s="316"/>
      <c r="B28" s="316"/>
      <c r="C28" s="316"/>
      <c r="D28" s="316"/>
      <c r="E28" s="316"/>
    </row>
    <row r="29" spans="1:12" ht="19.8" x14ac:dyDescent="0.3">
      <c r="A29" s="316"/>
      <c r="B29" s="316"/>
      <c r="C29" s="316"/>
      <c r="D29" s="316"/>
      <c r="E29" s="316"/>
      <c r="G29" s="106" t="s">
        <v>132</v>
      </c>
      <c r="H29" s="106"/>
    </row>
    <row r="30" spans="1:12" x14ac:dyDescent="0.3">
      <c r="A30" s="316"/>
      <c r="B30" s="316"/>
      <c r="C30" s="316"/>
      <c r="D30" s="316"/>
      <c r="E30" s="316"/>
      <c r="G30" s="72" t="s">
        <v>204</v>
      </c>
      <c r="H30" s="288">
        <v>20</v>
      </c>
    </row>
    <row r="31" spans="1:12" x14ac:dyDescent="0.3">
      <c r="A31" s="316"/>
      <c r="B31" s="316"/>
      <c r="C31" s="316"/>
      <c r="D31" s="316"/>
      <c r="E31" s="316"/>
      <c r="G31" s="72" t="s">
        <v>137</v>
      </c>
      <c r="H31" s="289">
        <f>'General Parameters'!C5</f>
        <v>100</v>
      </c>
    </row>
    <row r="32" spans="1:12" x14ac:dyDescent="0.3">
      <c r="G32" s="72" t="s">
        <v>135</v>
      </c>
      <c r="H32" s="290">
        <f>C3</f>
        <v>0.5</v>
      </c>
    </row>
    <row r="33" spans="7:8" x14ac:dyDescent="0.3">
      <c r="G33" s="72" t="s">
        <v>7</v>
      </c>
      <c r="H33" s="291">
        <f>'Solar Calculator'!K24</f>
        <v>0.33021899528714405</v>
      </c>
    </row>
    <row r="34" spans="7:8" x14ac:dyDescent="0.3">
      <c r="G34" s="72" t="s">
        <v>198</v>
      </c>
      <c r="H34" s="292">
        <f>C3*'General Parameters'!C3/(8760*'Solar Calculator'!K24)/0.0036</f>
        <v>7201.9915048022458</v>
      </c>
    </row>
  </sheetData>
  <sheetProtection algorithmName="SHA-512" hashValue="Iqgh5tBpCKykixR22gj8XxabGZOmDhCIJdbzpuJ5uWK4ttvhayJR7wJzAvlbpCg9AvA+zb0Emo2kWwfxPP/Mug==" saltValue="rzwR5Zmk4rqFtdM3wbDKVA==" spinCount="100000" sheet="1" objects="1" scenarios="1" selectLockedCells="1"/>
  <mergeCells count="5">
    <mergeCell ref="A26:E31"/>
    <mergeCell ref="E8:E9"/>
    <mergeCell ref="A8:A9"/>
    <mergeCell ref="A18:A19"/>
    <mergeCell ref="E18:E19"/>
  </mergeCells>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L28"/>
  <sheetViews>
    <sheetView zoomScale="90" zoomScaleNormal="90" workbookViewId="0">
      <selection activeCell="C10" sqref="C10"/>
    </sheetView>
  </sheetViews>
  <sheetFormatPr defaultColWidth="9.109375" defaultRowHeight="14.4" x14ac:dyDescent="0.3"/>
  <cols>
    <col min="1" max="1" width="27.88671875" style="163" customWidth="1"/>
    <col min="2" max="2" width="14" style="165" bestFit="1" customWidth="1"/>
    <col min="3" max="3" width="12.6640625" style="163" bestFit="1" customWidth="1"/>
    <col min="4" max="4" width="10.109375" style="163" customWidth="1"/>
    <col min="5" max="5" width="69.5546875" style="163" customWidth="1"/>
    <col min="6" max="6" width="2.77734375" style="163" customWidth="1"/>
    <col min="7" max="7" width="36.5546875" style="163" customWidth="1"/>
    <col min="8" max="9" width="13.33203125" style="163" customWidth="1"/>
    <col min="10" max="10" width="10.109375" style="163" bestFit="1" customWidth="1"/>
    <col min="11" max="12" width="13.33203125" style="163" customWidth="1"/>
    <col min="13" max="13" width="19.44140625" style="163" bestFit="1" customWidth="1"/>
    <col min="14" max="16384" width="9.109375" style="163"/>
  </cols>
  <sheetData>
    <row r="1" spans="1:12" ht="66.599999999999994" customHeight="1" x14ac:dyDescent="0.3"/>
    <row r="2" spans="1:12" ht="43.2" x14ac:dyDescent="0.3">
      <c r="A2" s="106" t="s">
        <v>214</v>
      </c>
      <c r="B2" s="108" t="s">
        <v>101</v>
      </c>
      <c r="C2" s="108" t="s">
        <v>292</v>
      </c>
      <c r="D2" s="108" t="s">
        <v>97</v>
      </c>
      <c r="E2" s="108" t="s">
        <v>96</v>
      </c>
      <c r="G2" s="107" t="s">
        <v>115</v>
      </c>
      <c r="H2" s="108" t="s">
        <v>76</v>
      </c>
      <c r="I2" s="193" t="s">
        <v>214</v>
      </c>
      <c r="J2" s="108" t="s">
        <v>97</v>
      </c>
    </row>
    <row r="3" spans="1:12" x14ac:dyDescent="0.3">
      <c r="A3" s="71" t="s">
        <v>211</v>
      </c>
      <c r="B3" s="101">
        <v>1</v>
      </c>
      <c r="C3" s="223">
        <v>0.5</v>
      </c>
      <c r="D3" s="6"/>
      <c r="E3" s="70" t="str">
        <f>IF(OR(C3&lt;=0,C3&gt;1),"PLEASE ENTER CONTRIBUTION BETWEEN 0-100%","Fraction of heat demand to be provided by heat pump")</f>
        <v>Fraction of heat demand to be provided by heat pump</v>
      </c>
      <c r="G3" s="77" t="s">
        <v>146</v>
      </c>
      <c r="H3" s="146">
        <f>Baseline!H3</f>
        <v>187500</v>
      </c>
      <c r="I3" s="81">
        <v>0</v>
      </c>
      <c r="J3" s="77" t="s">
        <v>32</v>
      </c>
    </row>
    <row r="4" spans="1:12" x14ac:dyDescent="0.3">
      <c r="A4" s="71" t="s">
        <v>186</v>
      </c>
      <c r="B4" s="101">
        <v>0.8</v>
      </c>
      <c r="C4" s="223">
        <v>0.8</v>
      </c>
      <c r="D4" s="6"/>
      <c r="E4" s="70" t="s">
        <v>233</v>
      </c>
      <c r="G4" s="189" t="s">
        <v>231</v>
      </c>
      <c r="H4" s="229" t="str">
        <f>Baseline!H4</f>
        <v>n/a</v>
      </c>
      <c r="I4" s="230">
        <f>HeatPump_DCF!B21/1000</f>
        <v>8932.958149091075</v>
      </c>
      <c r="J4" s="189" t="s">
        <v>230</v>
      </c>
      <c r="K4" s="175"/>
    </row>
    <row r="5" spans="1:12" ht="28.8" x14ac:dyDescent="0.3">
      <c r="A5" s="72" t="s">
        <v>5</v>
      </c>
      <c r="B5" s="105" t="s">
        <v>98</v>
      </c>
      <c r="C5" s="237">
        <f>1000*C3*'General Parameters'!C3/3.6/H17/(8760*C4)</f>
        <v>1274.6801011830869</v>
      </c>
      <c r="D5" s="83" t="s">
        <v>218</v>
      </c>
      <c r="E5" s="72" t="s">
        <v>267</v>
      </c>
      <c r="G5" s="189" t="s">
        <v>144</v>
      </c>
      <c r="H5" s="190">
        <f>Baseline!H5</f>
        <v>1875000</v>
      </c>
      <c r="I5" s="133">
        <v>0</v>
      </c>
      <c r="J5" s="189"/>
      <c r="L5" s="176"/>
    </row>
    <row r="6" spans="1:12" x14ac:dyDescent="0.3">
      <c r="A6" s="72" t="s">
        <v>133</v>
      </c>
      <c r="B6" s="105" t="s">
        <v>98</v>
      </c>
      <c r="C6" s="267">
        <f>H20</f>
        <v>1114060.2991593895</v>
      </c>
      <c r="D6" s="83"/>
      <c r="E6" s="72" t="s">
        <v>184</v>
      </c>
      <c r="G6" s="77" t="s">
        <v>145</v>
      </c>
      <c r="H6" s="201" t="str">
        <f>Baseline!H6</f>
        <v>n/a</v>
      </c>
      <c r="I6" s="82">
        <f>HeatPump_DCF!B22</f>
        <v>893295.8149091074</v>
      </c>
      <c r="J6" s="77"/>
    </row>
    <row r="7" spans="1:12" ht="28.8" x14ac:dyDescent="0.3">
      <c r="A7" s="71" t="s">
        <v>156</v>
      </c>
      <c r="B7" s="103">
        <v>0</v>
      </c>
      <c r="C7" s="212">
        <v>0</v>
      </c>
      <c r="D7" s="83" t="s">
        <v>21</v>
      </c>
      <c r="E7" s="72" t="s">
        <v>208</v>
      </c>
      <c r="G7" s="77" t="s">
        <v>31</v>
      </c>
      <c r="H7" s="146">
        <f>Baseline!H7</f>
        <v>150000</v>
      </c>
      <c r="I7" s="81">
        <f>HeatPump_DCF!D23</f>
        <v>75000.000000000015</v>
      </c>
      <c r="J7" s="77" t="s">
        <v>32</v>
      </c>
      <c r="K7" s="175"/>
    </row>
    <row r="8" spans="1:12" x14ac:dyDescent="0.3">
      <c r="A8" s="324" t="s">
        <v>22</v>
      </c>
      <c r="B8" s="104">
        <v>0.02</v>
      </c>
      <c r="C8" s="213">
        <v>0.02</v>
      </c>
      <c r="D8" s="83" t="s">
        <v>94</v>
      </c>
      <c r="E8" s="324" t="s">
        <v>123</v>
      </c>
      <c r="G8" s="77" t="s">
        <v>173</v>
      </c>
      <c r="H8" s="195">
        <f>Baseline!H9</f>
        <v>12.500000000000014</v>
      </c>
      <c r="I8" s="197">
        <f>HeatPump_DCF!D39</f>
        <v>13.543509818905482</v>
      </c>
      <c r="J8" s="77" t="s">
        <v>21</v>
      </c>
    </row>
    <row r="9" spans="1:12" ht="30" customHeight="1" x14ac:dyDescent="0.3">
      <c r="A9" s="325"/>
      <c r="B9" s="105" t="s">
        <v>98</v>
      </c>
      <c r="C9" s="312">
        <f>C8*C6</f>
        <v>22281.205983187789</v>
      </c>
      <c r="D9" s="83" t="s">
        <v>14</v>
      </c>
      <c r="E9" s="325"/>
      <c r="G9" s="77" t="s">
        <v>199</v>
      </c>
      <c r="H9" s="196">
        <f>Baseline!H10</f>
        <v>12.500000000000014</v>
      </c>
      <c r="I9" s="198">
        <f>HeatPump_DCF!D40</f>
        <v>13.543509818905482</v>
      </c>
      <c r="J9" s="189" t="s">
        <v>21</v>
      </c>
    </row>
    <row r="10" spans="1:12" x14ac:dyDescent="0.3">
      <c r="A10" s="73" t="s">
        <v>221</v>
      </c>
      <c r="B10" s="105">
        <v>10</v>
      </c>
      <c r="C10" s="313">
        <v>10</v>
      </c>
      <c r="D10" s="83" t="s">
        <v>222</v>
      </c>
      <c r="E10" s="72" t="s">
        <v>223</v>
      </c>
      <c r="G10" s="77" t="s">
        <v>142</v>
      </c>
      <c r="H10" s="146">
        <f>Baseline!H11</f>
        <v>1875000.0000000021</v>
      </c>
      <c r="I10" s="199">
        <f>I7*I8</f>
        <v>1015763.2364179114</v>
      </c>
      <c r="J10" s="77" t="s">
        <v>14</v>
      </c>
    </row>
    <row r="11" spans="1:12" x14ac:dyDescent="0.3">
      <c r="A11" s="73" t="s">
        <v>252</v>
      </c>
      <c r="B11" s="239">
        <v>2.5000000000000001E-2</v>
      </c>
      <c r="C11" s="314">
        <v>2.5000000000000001E-2</v>
      </c>
      <c r="D11" s="83" t="s">
        <v>14</v>
      </c>
      <c r="E11" s="73" t="s">
        <v>124</v>
      </c>
      <c r="G11" s="189" t="s">
        <v>119</v>
      </c>
      <c r="H11" s="190" t="str">
        <f>Baseline!H12</f>
        <v>n/a</v>
      </c>
      <c r="I11" s="202">
        <f>IRR(HeatPump_DCF!X49:X89)</f>
        <v>2.3092328349749023</v>
      </c>
      <c r="J11" s="189" t="s">
        <v>14</v>
      </c>
    </row>
    <row r="12" spans="1:12" x14ac:dyDescent="0.3">
      <c r="A12" s="71" t="s">
        <v>253</v>
      </c>
      <c r="B12" s="102" t="s">
        <v>98</v>
      </c>
      <c r="C12" s="240">
        <f>H17</f>
        <v>2.3321874999999999</v>
      </c>
      <c r="D12" s="83"/>
      <c r="E12" s="71" t="s">
        <v>235</v>
      </c>
      <c r="G12" s="77" t="s">
        <v>120</v>
      </c>
      <c r="H12" s="146" t="str">
        <f>Baseline!H13</f>
        <v>n/a</v>
      </c>
      <c r="I12" s="82">
        <f>SUM(HeatPump_DCF!Y49:Y89)</f>
        <v>13655204.339223348</v>
      </c>
      <c r="J12" s="77"/>
    </row>
    <row r="13" spans="1:12" ht="19.8" x14ac:dyDescent="0.3">
      <c r="A13" s="130" t="s">
        <v>143</v>
      </c>
      <c r="B13" s="108"/>
      <c r="C13" s="108"/>
      <c r="D13" s="108"/>
      <c r="E13" s="108"/>
    </row>
    <row r="14" spans="1:12" ht="19.8" x14ac:dyDescent="0.3">
      <c r="A14" s="106" t="s">
        <v>1</v>
      </c>
      <c r="B14" s="298" t="str">
        <f>IF('General Parameters'!C5&gt;150,"HEAT PUMPS UNLIKELY TO BE APPROPRIATE BEYOND 150 C","")</f>
        <v/>
      </c>
      <c r="C14" s="108"/>
      <c r="D14" s="108"/>
      <c r="E14" s="108"/>
      <c r="G14" s="106" t="s">
        <v>216</v>
      </c>
      <c r="H14" s="106"/>
    </row>
    <row r="15" spans="1:12" x14ac:dyDescent="0.3">
      <c r="B15" s="163"/>
      <c r="G15" s="71" t="s">
        <v>220</v>
      </c>
      <c r="H15" s="285">
        <f>C5</f>
        <v>1274.6801011830869</v>
      </c>
    </row>
    <row r="16" spans="1:12" x14ac:dyDescent="0.3">
      <c r="G16" s="71" t="s">
        <v>263</v>
      </c>
      <c r="H16" s="315">
        <v>0.5</v>
      </c>
    </row>
    <row r="17" spans="1:12" s="167" customFormat="1" x14ac:dyDescent="0.3">
      <c r="A17" s="163"/>
      <c r="B17" s="165"/>
      <c r="C17" s="163"/>
      <c r="D17" s="163"/>
      <c r="F17" s="163"/>
      <c r="G17" s="71" t="s">
        <v>217</v>
      </c>
      <c r="H17" s="297">
        <f>IF((H16*('General Parameters'!C5+273.15)/('General Parameters'!C5-20))&lt;1,1,H16*('General Parameters'!C5+273.15)/('General Parameters'!C5-20))</f>
        <v>2.3321874999999999</v>
      </c>
    </row>
    <row r="18" spans="1:12" x14ac:dyDescent="0.3">
      <c r="G18" s="71" t="s">
        <v>219</v>
      </c>
      <c r="H18" s="294">
        <f>(940000/1000^0.7)*H15^-0.3</f>
        <v>873.99206916729997</v>
      </c>
    </row>
    <row r="19" spans="1:12" ht="28.8" x14ac:dyDescent="0.3">
      <c r="G19" s="70" t="s">
        <v>210</v>
      </c>
      <c r="H19" s="287">
        <v>1</v>
      </c>
      <c r="I19" s="161"/>
    </row>
    <row r="20" spans="1:12" x14ac:dyDescent="0.3">
      <c r="G20" s="71" t="s">
        <v>133</v>
      </c>
      <c r="H20" s="286">
        <f>H15*H18*H19</f>
        <v>1114060.2991593895</v>
      </c>
    </row>
    <row r="21" spans="1:12" ht="15" customHeight="1" x14ac:dyDescent="0.3">
      <c r="E21" s="161"/>
    </row>
    <row r="22" spans="1:12" x14ac:dyDescent="0.3">
      <c r="J22" s="174"/>
      <c r="K22" s="174"/>
      <c r="L22" s="174"/>
    </row>
    <row r="28" spans="1:12" x14ac:dyDescent="0.3">
      <c r="H28" s="208"/>
    </row>
  </sheetData>
  <sheetProtection algorithmName="SHA-512" hashValue="mc4xHgsaND6rUX9SFlXmhrFjbJ/teU8oJB/VprpAoTw/5NFxgTCk00bfvaIspZ5e500r3j0LdtuO6wAHwm54rw==" saltValue="g1Fj6zd4tjgrIf60MNN14w==" spinCount="100000" sheet="1" objects="1" scenarios="1" selectLockedCells="1"/>
  <dataConsolidate/>
  <mergeCells count="2">
    <mergeCell ref="A8:A9"/>
    <mergeCell ref="E8:E9"/>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L28"/>
  <sheetViews>
    <sheetView zoomScale="90" zoomScaleNormal="90" workbookViewId="0">
      <selection activeCell="H19" sqref="H19"/>
    </sheetView>
  </sheetViews>
  <sheetFormatPr defaultColWidth="9.109375" defaultRowHeight="14.4" x14ac:dyDescent="0.3"/>
  <cols>
    <col min="1" max="1" width="28.44140625" style="163" customWidth="1"/>
    <col min="2" max="2" width="14" style="165" bestFit="1" customWidth="1"/>
    <col min="3" max="3" width="12.6640625" style="163" bestFit="1" customWidth="1"/>
    <col min="4" max="4" width="10.109375" style="163" bestFit="1" customWidth="1"/>
    <col min="5" max="5" width="69.5546875" style="163" customWidth="1"/>
    <col min="6" max="6" width="2.77734375" style="163" customWidth="1"/>
    <col min="7" max="7" width="36.5546875" style="163" customWidth="1"/>
    <col min="8" max="9" width="13.33203125" style="163" customWidth="1"/>
    <col min="10" max="10" width="10.109375" style="163" bestFit="1" customWidth="1"/>
    <col min="11" max="12" width="13.33203125" style="163" customWidth="1"/>
    <col min="13" max="13" width="19.44140625" style="163" bestFit="1" customWidth="1"/>
    <col min="14" max="16384" width="9.109375" style="163"/>
  </cols>
  <sheetData>
    <row r="1" spans="1:12" ht="64.8" customHeight="1" x14ac:dyDescent="0.3"/>
    <row r="2" spans="1:12" ht="43.2" x14ac:dyDescent="0.3">
      <c r="A2" s="106" t="s">
        <v>213</v>
      </c>
      <c r="B2" s="108" t="s">
        <v>101</v>
      </c>
      <c r="C2" s="108" t="s">
        <v>292</v>
      </c>
      <c r="D2" s="108" t="s">
        <v>97</v>
      </c>
      <c r="E2" s="108" t="s">
        <v>96</v>
      </c>
      <c r="G2" s="106" t="s">
        <v>115</v>
      </c>
      <c r="H2" s="108" t="s">
        <v>76</v>
      </c>
      <c r="I2" s="193" t="s">
        <v>213</v>
      </c>
      <c r="J2" s="108" t="s">
        <v>97</v>
      </c>
    </row>
    <row r="3" spans="1:12" x14ac:dyDescent="0.3">
      <c r="A3" s="71" t="s">
        <v>211</v>
      </c>
      <c r="B3" s="270">
        <v>1</v>
      </c>
      <c r="C3" s="223">
        <v>0.7</v>
      </c>
      <c r="D3" s="6"/>
      <c r="E3" s="70" t="s">
        <v>283</v>
      </c>
      <c r="G3" s="77" t="s">
        <v>146</v>
      </c>
      <c r="H3" s="146">
        <f>Baseline!H3</f>
        <v>187500</v>
      </c>
      <c r="I3" s="81">
        <v>0</v>
      </c>
      <c r="J3" s="77" t="s">
        <v>32</v>
      </c>
    </row>
    <row r="4" spans="1:12" x14ac:dyDescent="0.3">
      <c r="A4" s="71" t="s">
        <v>236</v>
      </c>
      <c r="B4" s="144" t="s">
        <v>98</v>
      </c>
      <c r="C4" s="241">
        <v>2000</v>
      </c>
      <c r="D4" s="6" t="s">
        <v>237</v>
      </c>
      <c r="E4" s="70" t="s">
        <v>264</v>
      </c>
      <c r="G4" s="189" t="s">
        <v>147</v>
      </c>
      <c r="H4" s="229" t="str">
        <f>Baseline!H4</f>
        <v>n/a</v>
      </c>
      <c r="I4" s="230">
        <f>Geo_DCF!B21/1000</f>
        <v>695.97160499483289</v>
      </c>
      <c r="J4" s="189" t="s">
        <v>246</v>
      </c>
      <c r="K4" s="175"/>
    </row>
    <row r="5" spans="1:12" x14ac:dyDescent="0.3">
      <c r="A5" s="71" t="s">
        <v>254</v>
      </c>
      <c r="B5" s="144" t="s">
        <v>98</v>
      </c>
      <c r="C5" s="242">
        <v>10</v>
      </c>
      <c r="D5" s="6" t="s">
        <v>238</v>
      </c>
      <c r="E5" s="70" t="s">
        <v>239</v>
      </c>
      <c r="G5" s="189"/>
      <c r="H5" s="229"/>
      <c r="I5" s="230"/>
      <c r="J5" s="189"/>
      <c r="K5" s="175"/>
    </row>
    <row r="6" spans="1:12" x14ac:dyDescent="0.3">
      <c r="A6" s="71" t="s">
        <v>251</v>
      </c>
      <c r="B6" s="144" t="s">
        <v>98</v>
      </c>
      <c r="C6" s="242">
        <v>100</v>
      </c>
      <c r="D6" s="6" t="s">
        <v>158</v>
      </c>
      <c r="E6" s="70" t="s">
        <v>265</v>
      </c>
      <c r="G6" s="77" t="s">
        <v>144</v>
      </c>
      <c r="H6" s="146">
        <f>Baseline!H5</f>
        <v>1875000</v>
      </c>
      <c r="I6" s="82">
        <v>0</v>
      </c>
      <c r="J6" s="77"/>
      <c r="L6" s="176"/>
    </row>
    <row r="7" spans="1:12" x14ac:dyDescent="0.3">
      <c r="A7" s="72" t="s">
        <v>5</v>
      </c>
      <c r="B7" s="105" t="s">
        <v>98</v>
      </c>
      <c r="C7" s="228">
        <f>H17*C5*4.186*(C6-20)</f>
        <v>3348.8</v>
      </c>
      <c r="D7" s="83" t="s">
        <v>6</v>
      </c>
      <c r="E7" s="72" t="s">
        <v>266</v>
      </c>
      <c r="G7" s="77" t="s">
        <v>145</v>
      </c>
      <c r="H7" s="201" t="str">
        <f>Baseline!H6</f>
        <v>n/a</v>
      </c>
      <c r="I7" s="82">
        <f>Geo_DCF!B22</f>
        <v>69597.160499483289</v>
      </c>
      <c r="J7" s="77"/>
    </row>
    <row r="8" spans="1:12" x14ac:dyDescent="0.3">
      <c r="A8" s="72" t="s">
        <v>186</v>
      </c>
      <c r="B8" s="105" t="s">
        <v>98</v>
      </c>
      <c r="C8" s="268">
        <f>Geo_DCF!B4</f>
        <v>0.9942451499926187</v>
      </c>
      <c r="D8" s="83"/>
      <c r="E8" s="72" t="s">
        <v>276</v>
      </c>
      <c r="G8" s="77" t="s">
        <v>31</v>
      </c>
      <c r="H8" s="146">
        <f>Baseline!H7</f>
        <v>150000</v>
      </c>
      <c r="I8" s="81">
        <f>Geo_DCF!D23</f>
        <v>104999.99999999999</v>
      </c>
      <c r="J8" s="77" t="s">
        <v>32</v>
      </c>
    </row>
    <row r="9" spans="1:12" x14ac:dyDescent="0.3">
      <c r="A9" s="72" t="s">
        <v>133</v>
      </c>
      <c r="B9" s="105" t="s">
        <v>98</v>
      </c>
      <c r="C9" s="227">
        <f>H20</f>
        <v>5440000</v>
      </c>
      <c r="D9" s="83"/>
      <c r="E9" s="72" t="s">
        <v>184</v>
      </c>
      <c r="G9" s="77" t="s">
        <v>173</v>
      </c>
      <c r="H9" s="195">
        <f>Baseline!H9</f>
        <v>12.500000000000014</v>
      </c>
      <c r="I9" s="197">
        <f>Geo_DCF!D39</f>
        <v>6.3581939823081894</v>
      </c>
      <c r="J9" s="77" t="s">
        <v>21</v>
      </c>
    </row>
    <row r="10" spans="1:12" ht="30" customHeight="1" x14ac:dyDescent="0.3">
      <c r="A10" s="73" t="s">
        <v>156</v>
      </c>
      <c r="B10" s="115">
        <v>0</v>
      </c>
      <c r="C10" s="225">
        <v>0</v>
      </c>
      <c r="D10" s="83" t="s">
        <v>21</v>
      </c>
      <c r="E10" s="72" t="s">
        <v>208</v>
      </c>
      <c r="G10" s="77" t="s">
        <v>199</v>
      </c>
      <c r="H10" s="196">
        <f>Baseline!H10</f>
        <v>12.500000000000014</v>
      </c>
      <c r="I10" s="198">
        <f>Geo_DCF!D40</f>
        <v>6.3581939823081894</v>
      </c>
      <c r="J10" s="189" t="s">
        <v>21</v>
      </c>
    </row>
    <row r="11" spans="1:12" x14ac:dyDescent="0.3">
      <c r="A11" s="324" t="s">
        <v>22</v>
      </c>
      <c r="B11" s="104">
        <v>0.02</v>
      </c>
      <c r="C11" s="213">
        <v>0.02</v>
      </c>
      <c r="D11" s="83" t="s">
        <v>94</v>
      </c>
      <c r="E11" s="324" t="s">
        <v>123</v>
      </c>
      <c r="G11" s="77" t="s">
        <v>142</v>
      </c>
      <c r="H11" s="146">
        <f>Baseline!H11</f>
        <v>1875000.0000000021</v>
      </c>
      <c r="I11" s="199">
        <f>I8*I9</f>
        <v>667610.36814235977</v>
      </c>
      <c r="J11" s="77" t="s">
        <v>14</v>
      </c>
    </row>
    <row r="12" spans="1:12" x14ac:dyDescent="0.3">
      <c r="A12" s="325"/>
      <c r="B12" s="105" t="s">
        <v>98</v>
      </c>
      <c r="C12" s="258">
        <f>C11*C9</f>
        <v>108800</v>
      </c>
      <c r="D12" s="83" t="s">
        <v>14</v>
      </c>
      <c r="E12" s="325"/>
      <c r="G12" s="189" t="s">
        <v>119</v>
      </c>
      <c r="H12" s="190" t="str">
        <f>Baseline!H12</f>
        <v>n/a</v>
      </c>
      <c r="I12" s="202">
        <f>IRR(Geo_DCF!X49:X89)</f>
        <v>0.67322359179965874</v>
      </c>
      <c r="J12" s="189" t="s">
        <v>14</v>
      </c>
    </row>
    <row r="13" spans="1:12" x14ac:dyDescent="0.3">
      <c r="A13" s="73" t="s">
        <v>221</v>
      </c>
      <c r="B13" s="105">
        <v>10</v>
      </c>
      <c r="C13" s="313">
        <v>10</v>
      </c>
      <c r="D13" s="83" t="s">
        <v>222</v>
      </c>
      <c r="E13" s="72" t="s">
        <v>223</v>
      </c>
      <c r="G13" s="77" t="s">
        <v>120</v>
      </c>
      <c r="H13" s="146" t="str">
        <f>Baseline!H13</f>
        <v>n/a</v>
      </c>
      <c r="I13" s="82">
        <f>SUM(Geo_DCF!Y49:Y89)</f>
        <v>14333109.800120771</v>
      </c>
      <c r="J13" s="77"/>
    </row>
    <row r="14" spans="1:12" x14ac:dyDescent="0.3">
      <c r="A14" s="73" t="s">
        <v>252</v>
      </c>
      <c r="B14" s="239">
        <v>2.5000000000000001E-2</v>
      </c>
      <c r="C14" s="314">
        <v>2.5000000000000001E-2</v>
      </c>
      <c r="D14" s="83" t="s">
        <v>14</v>
      </c>
      <c r="E14" s="73" t="s">
        <v>124</v>
      </c>
    </row>
    <row r="15" spans="1:12" ht="19.8" x14ac:dyDescent="0.3">
      <c r="A15" s="73" t="s">
        <v>253</v>
      </c>
      <c r="B15" s="105" t="s">
        <v>107</v>
      </c>
      <c r="C15" s="269">
        <f>Geo_DCF!B19</f>
        <v>41.907840000000007</v>
      </c>
      <c r="D15" s="83"/>
      <c r="E15" s="73" t="s">
        <v>275</v>
      </c>
      <c r="G15" s="106" t="s">
        <v>212</v>
      </c>
      <c r="H15" s="106"/>
    </row>
    <row r="16" spans="1:12" ht="19.5" customHeight="1" x14ac:dyDescent="0.3">
      <c r="A16" s="130" t="s">
        <v>143</v>
      </c>
      <c r="B16" s="130"/>
      <c r="C16" s="133">
        <f>C9</f>
        <v>5440000</v>
      </c>
      <c r="D16" s="130"/>
      <c r="E16" s="131"/>
      <c r="G16" s="72" t="s">
        <v>240</v>
      </c>
      <c r="H16" s="285">
        <f>C4*1.6</f>
        <v>3200</v>
      </c>
    </row>
    <row r="17" spans="1:12" ht="19.5" customHeight="1" x14ac:dyDescent="0.3">
      <c r="A17" s="116" t="s">
        <v>1</v>
      </c>
      <c r="B17" s="301" t="str">
        <f>IF('General Parameters'!C5&gt;C6,"AQUIFER TEMPERATURE INSUFFICIENT","")</f>
        <v/>
      </c>
      <c r="C17" s="299"/>
      <c r="D17" s="299"/>
      <c r="E17" s="300"/>
      <c r="G17" s="72" t="s">
        <v>247</v>
      </c>
      <c r="H17" s="302">
        <f>ROUNDUP(C3*'General Parameters'!C3/(Geothermal!C5*4186*(Geothermal!C6-20)*60*60*8760/1000000000),0)</f>
        <v>1</v>
      </c>
    </row>
    <row r="18" spans="1:12" s="167" customFormat="1" x14ac:dyDescent="0.3">
      <c r="A18" s="163"/>
      <c r="B18" s="326"/>
      <c r="C18" s="326"/>
      <c r="D18" s="326"/>
      <c r="E18" s="327"/>
      <c r="F18" s="163"/>
      <c r="G18" s="72" t="s">
        <v>248</v>
      </c>
      <c r="H18" s="294">
        <f>IF(C4&gt;2000,2500,1700)</f>
        <v>1700</v>
      </c>
    </row>
    <row r="19" spans="1:12" ht="28.8" x14ac:dyDescent="0.3">
      <c r="B19" s="326"/>
      <c r="C19" s="326"/>
      <c r="D19" s="326"/>
      <c r="E19" s="327"/>
      <c r="G19" s="72" t="s">
        <v>210</v>
      </c>
      <c r="H19" s="287">
        <v>1</v>
      </c>
    </row>
    <row r="20" spans="1:12" x14ac:dyDescent="0.3">
      <c r="G20" s="72" t="s">
        <v>133</v>
      </c>
      <c r="H20" s="286">
        <f>H16*H18*H19*H17^0.7</f>
        <v>5440000</v>
      </c>
      <c r="I20" s="161"/>
    </row>
    <row r="22" spans="1:12" ht="15" customHeight="1" x14ac:dyDescent="0.3"/>
    <row r="23" spans="1:12" x14ac:dyDescent="0.3">
      <c r="J23" s="174"/>
      <c r="K23" s="174"/>
      <c r="L23" s="174"/>
    </row>
    <row r="25" spans="1:12" x14ac:dyDescent="0.3">
      <c r="B25" s="163"/>
    </row>
    <row r="26" spans="1:12" x14ac:dyDescent="0.3">
      <c r="B26" s="163"/>
    </row>
    <row r="28" spans="1:12" x14ac:dyDescent="0.3">
      <c r="H28" s="208"/>
    </row>
  </sheetData>
  <sheetProtection algorithmName="SHA-512" hashValue="3YqaiqYCIa0N0op1vX41mgTc2fZz2Y0xLF1eHgVz4ljuKcEk8A7srpf4X+ZCcEmimv+DO6Ak5dV+970Q+2LAzA==" saltValue="g0/oi3SamqksXWpK8VMwKA==" spinCount="100000" sheet="1" objects="1" scenarios="1" selectLockedCells="1"/>
  <mergeCells count="4">
    <mergeCell ref="B19:E19"/>
    <mergeCell ref="A11:A12"/>
    <mergeCell ref="E11:E12"/>
    <mergeCell ref="B18:E18"/>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J29"/>
  <sheetViews>
    <sheetView zoomScale="90" zoomScaleNormal="90" zoomScaleSheetLayoutView="90" workbookViewId="0">
      <selection activeCell="H20" sqref="H20"/>
    </sheetView>
  </sheetViews>
  <sheetFormatPr defaultColWidth="9.109375" defaultRowHeight="14.4" x14ac:dyDescent="0.3"/>
  <cols>
    <col min="1" max="1" width="27.6640625" style="163" customWidth="1"/>
    <col min="2" max="2" width="14" style="163" bestFit="1" customWidth="1"/>
    <col min="3" max="3" width="12.6640625" style="165" customWidth="1"/>
    <col min="4" max="4" width="10.88671875" style="165" bestFit="1" customWidth="1"/>
    <col min="5" max="5" width="58.5546875" style="163" customWidth="1"/>
    <col min="6" max="6" width="2.77734375" style="163" customWidth="1"/>
    <col min="7" max="7" width="38.44140625" style="166" customWidth="1"/>
    <col min="8" max="10" width="12.6640625" style="166" customWidth="1"/>
    <col min="11" max="11" width="12.6640625" style="163" customWidth="1"/>
    <col min="12" max="12" width="12.109375" style="163" bestFit="1" customWidth="1"/>
    <col min="13" max="16384" width="9.109375" style="163"/>
  </cols>
  <sheetData>
    <row r="1" spans="1:10" ht="66" customHeight="1" x14ac:dyDescent="0.3"/>
    <row r="2" spans="1:10" ht="43.2" x14ac:dyDescent="0.3">
      <c r="A2" s="106" t="s">
        <v>102</v>
      </c>
      <c r="B2" s="108" t="s">
        <v>101</v>
      </c>
      <c r="C2" s="108" t="s">
        <v>292</v>
      </c>
      <c r="D2" s="108" t="s">
        <v>97</v>
      </c>
      <c r="E2" s="108" t="s">
        <v>96</v>
      </c>
      <c r="G2" s="107" t="s">
        <v>115</v>
      </c>
      <c r="H2" s="108" t="s">
        <v>76</v>
      </c>
      <c r="I2" s="108" t="s">
        <v>161</v>
      </c>
      <c r="J2" s="108" t="s">
        <v>97</v>
      </c>
    </row>
    <row r="3" spans="1:10" x14ac:dyDescent="0.3">
      <c r="A3" s="71" t="s">
        <v>211</v>
      </c>
      <c r="B3" s="144" t="s">
        <v>107</v>
      </c>
      <c r="C3" s="223">
        <v>0.8</v>
      </c>
      <c r="D3" s="6"/>
      <c r="E3" s="71" t="str">
        <f>IF(OR(C3&lt;=0,C3&gt;1),"PLEASE ENTER CONTRIBUTION BETWEEN 0-100%","Fraction of heat demand to be provided by other")</f>
        <v>Fraction of heat demand to be provided by other</v>
      </c>
      <c r="G3" s="77" t="s">
        <v>146</v>
      </c>
      <c r="H3" s="146">
        <f>Baseline!H3</f>
        <v>187500</v>
      </c>
      <c r="I3" s="81">
        <f>Other_DCF!H20</f>
        <v>37500.000000000015</v>
      </c>
      <c r="J3" s="77" t="s">
        <v>32</v>
      </c>
    </row>
    <row r="4" spans="1:10" x14ac:dyDescent="0.3">
      <c r="A4" s="72" t="s">
        <v>5</v>
      </c>
      <c r="B4" s="144" t="s">
        <v>107</v>
      </c>
      <c r="C4" s="210">
        <v>5000</v>
      </c>
      <c r="D4" s="6" t="s">
        <v>6</v>
      </c>
      <c r="E4" s="71" t="s">
        <v>257</v>
      </c>
      <c r="G4" s="77" t="s">
        <v>147</v>
      </c>
      <c r="H4" s="194" t="str">
        <f>Baseline!H4</f>
        <v>n/a</v>
      </c>
      <c r="I4" s="81">
        <f>Other_DCF!D20</f>
        <v>149999.99999999997</v>
      </c>
      <c r="J4" s="77" t="s">
        <v>32</v>
      </c>
    </row>
    <row r="5" spans="1:10" s="170" customFormat="1" x14ac:dyDescent="0.3">
      <c r="A5" s="72" t="s">
        <v>186</v>
      </c>
      <c r="B5" s="143">
        <v>0.8</v>
      </c>
      <c r="C5" s="252">
        <f>Other_DCF!B3</f>
        <v>0.76103500761035003</v>
      </c>
      <c r="D5" s="6"/>
      <c r="E5" s="99" t="s">
        <v>260</v>
      </c>
      <c r="F5" s="163"/>
      <c r="G5" s="77" t="s">
        <v>144</v>
      </c>
      <c r="H5" s="146">
        <f>Baseline!H5</f>
        <v>1875000</v>
      </c>
      <c r="I5" s="82">
        <f>Other_DCF!F21</f>
        <v>375000.00000000017</v>
      </c>
      <c r="J5" s="77"/>
    </row>
    <row r="6" spans="1:10" ht="15" customHeight="1" x14ac:dyDescent="0.3">
      <c r="A6" s="72" t="s">
        <v>133</v>
      </c>
      <c r="B6" s="144" t="s">
        <v>107</v>
      </c>
      <c r="C6" s="211">
        <v>8189801.3995041018</v>
      </c>
      <c r="D6" s="83"/>
      <c r="E6" s="72" t="s">
        <v>202</v>
      </c>
      <c r="G6" s="77" t="s">
        <v>145</v>
      </c>
      <c r="H6" s="194" t="str">
        <f>Baseline!H6</f>
        <v>n/a</v>
      </c>
      <c r="I6" s="82">
        <f>Other_DCF!B21</f>
        <v>0</v>
      </c>
      <c r="J6" s="77"/>
    </row>
    <row r="7" spans="1:10" x14ac:dyDescent="0.3">
      <c r="A7" s="71" t="s">
        <v>156</v>
      </c>
      <c r="B7" s="144" t="s">
        <v>107</v>
      </c>
      <c r="C7" s="212">
        <v>0</v>
      </c>
      <c r="D7" s="83" t="s">
        <v>21</v>
      </c>
      <c r="E7" s="71" t="s">
        <v>122</v>
      </c>
      <c r="G7" s="77" t="s">
        <v>31</v>
      </c>
      <c r="H7" s="146">
        <f>Baseline!H7</f>
        <v>150000</v>
      </c>
      <c r="I7" s="81">
        <f>Other_DCF!L22</f>
        <v>150000</v>
      </c>
      <c r="J7" s="77" t="s">
        <v>32</v>
      </c>
    </row>
    <row r="8" spans="1:10" x14ac:dyDescent="0.3">
      <c r="A8" s="324" t="s">
        <v>22</v>
      </c>
      <c r="B8" s="144" t="s">
        <v>107</v>
      </c>
      <c r="C8" s="213">
        <v>0.02</v>
      </c>
      <c r="D8" s="83" t="s">
        <v>94</v>
      </c>
      <c r="E8" s="324" t="s">
        <v>123</v>
      </c>
      <c r="G8" s="77" t="s">
        <v>173</v>
      </c>
      <c r="H8" s="195">
        <f>Baseline!H9</f>
        <v>12.500000000000014</v>
      </c>
      <c r="I8" s="197">
        <f>Other_DCF!L38</f>
        <v>9.3919311297155765</v>
      </c>
      <c r="J8" s="77" t="s">
        <v>21</v>
      </c>
    </row>
    <row r="9" spans="1:10" ht="28.8" x14ac:dyDescent="0.3">
      <c r="A9" s="325"/>
      <c r="B9" s="105" t="s">
        <v>98</v>
      </c>
      <c r="C9" s="263">
        <f>C8*C6</f>
        <v>163796.02799008205</v>
      </c>
      <c r="D9" s="83" t="s">
        <v>14</v>
      </c>
      <c r="E9" s="325"/>
      <c r="G9" s="189" t="s">
        <v>174</v>
      </c>
      <c r="H9" s="196">
        <f>Baseline!H10</f>
        <v>12.500000000000014</v>
      </c>
      <c r="I9" s="198">
        <f>Other_DCF!L39</f>
        <v>9.3919311297155765</v>
      </c>
      <c r="J9" s="189" t="s">
        <v>21</v>
      </c>
    </row>
    <row r="10" spans="1:10" x14ac:dyDescent="0.3">
      <c r="A10" s="71" t="s">
        <v>24</v>
      </c>
      <c r="B10" s="144" t="s">
        <v>107</v>
      </c>
      <c r="C10" s="212">
        <v>0</v>
      </c>
      <c r="D10" s="83" t="s">
        <v>21</v>
      </c>
      <c r="E10" s="72" t="s">
        <v>138</v>
      </c>
      <c r="G10" s="77" t="s">
        <v>142</v>
      </c>
      <c r="H10" s="146">
        <f>Baseline!H11</f>
        <v>1875000.0000000021</v>
      </c>
      <c r="I10" s="199">
        <f>I7*I8</f>
        <v>1408789.6694573364</v>
      </c>
      <c r="J10" s="77" t="s">
        <v>14</v>
      </c>
    </row>
    <row r="11" spans="1:10" x14ac:dyDescent="0.3">
      <c r="A11" s="73" t="s">
        <v>25</v>
      </c>
      <c r="B11" s="192" t="s">
        <v>107</v>
      </c>
      <c r="C11" s="214">
        <v>2.5000000000000001E-2</v>
      </c>
      <c r="D11" s="83" t="s">
        <v>14</v>
      </c>
      <c r="E11" s="73" t="s">
        <v>124</v>
      </c>
      <c r="G11" s="77" t="s">
        <v>119</v>
      </c>
      <c r="H11" s="146" t="str">
        <f>Baseline!H12</f>
        <v>n/a</v>
      </c>
      <c r="I11" s="200">
        <f>IRR(Other_DCF!Z49:Z89)</f>
        <v>0.20659901373493583</v>
      </c>
      <c r="J11" s="77" t="s">
        <v>14</v>
      </c>
    </row>
    <row r="12" spans="1:10" x14ac:dyDescent="0.3">
      <c r="A12" s="71" t="s">
        <v>26</v>
      </c>
      <c r="B12" s="144" t="s">
        <v>107</v>
      </c>
      <c r="C12" s="215">
        <v>0.8</v>
      </c>
      <c r="D12" s="83"/>
      <c r="E12" s="71"/>
      <c r="G12" s="77" t="s">
        <v>120</v>
      </c>
      <c r="H12" s="146" t="str">
        <f>Baseline!H13</f>
        <v>n/a</v>
      </c>
      <c r="I12" s="282">
        <f>SUM(Other_DCF!AA49:AA89)</f>
        <v>4819625.5820216527</v>
      </c>
      <c r="J12" s="77"/>
    </row>
    <row r="13" spans="1:10" ht="19.8" x14ac:dyDescent="0.3">
      <c r="A13" s="106" t="s">
        <v>112</v>
      </c>
      <c r="B13" s="108"/>
      <c r="C13" s="108"/>
      <c r="D13" s="108"/>
      <c r="E13" s="108"/>
      <c r="G13" s="163"/>
      <c r="H13" s="163"/>
      <c r="I13" s="163"/>
      <c r="J13" s="163"/>
    </row>
    <row r="14" spans="1:10" x14ac:dyDescent="0.3">
      <c r="A14" s="71" t="s">
        <v>5</v>
      </c>
      <c r="B14" s="102" t="s">
        <v>98</v>
      </c>
      <c r="C14" s="224">
        <v>5000</v>
      </c>
      <c r="D14" s="6" t="s">
        <v>6</v>
      </c>
      <c r="E14" s="71" t="str">
        <f>IF(C14*8760*0.0036&lt;H7*(1-C3),"BOILER TOO SMALL TO MEET HEAT DEMAND","Thermal power rating of boiler")</f>
        <v>Thermal power rating of boiler</v>
      </c>
      <c r="G14" s="163"/>
      <c r="H14" s="163"/>
      <c r="I14" s="163"/>
      <c r="J14" s="163"/>
    </row>
    <row r="15" spans="1:10" x14ac:dyDescent="0.3">
      <c r="A15" s="72" t="s">
        <v>186</v>
      </c>
      <c r="B15" s="143">
        <v>0.8</v>
      </c>
      <c r="C15" s="252">
        <f>Other_DCF!F3</f>
        <v>0.19025875190258762</v>
      </c>
      <c r="D15" s="6"/>
      <c r="E15" s="99" t="s">
        <v>260</v>
      </c>
      <c r="G15" s="163"/>
      <c r="H15" s="163"/>
      <c r="I15" s="163"/>
      <c r="J15" s="163"/>
    </row>
    <row r="16" spans="1:10" ht="58.2" thickBot="1" x14ac:dyDescent="0.35">
      <c r="A16" s="72" t="s">
        <v>133</v>
      </c>
      <c r="B16" s="105" t="s">
        <v>98</v>
      </c>
      <c r="C16" s="211">
        <v>1214365.1472761775</v>
      </c>
      <c r="D16" s="100"/>
      <c r="E16" s="99" t="s">
        <v>206</v>
      </c>
      <c r="G16" s="163"/>
      <c r="H16" s="163"/>
      <c r="I16" s="163"/>
      <c r="J16" s="163"/>
    </row>
    <row r="17" spans="1:10" ht="29.4" thickBot="1" x14ac:dyDescent="0.35">
      <c r="A17" s="71" t="s">
        <v>156</v>
      </c>
      <c r="B17" s="115">
        <v>0</v>
      </c>
      <c r="C17" s="225">
        <v>0</v>
      </c>
      <c r="D17" s="83" t="s">
        <v>21</v>
      </c>
      <c r="E17" s="72" t="s">
        <v>208</v>
      </c>
      <c r="G17" s="110" t="s">
        <v>169</v>
      </c>
      <c r="H17" s="111"/>
      <c r="I17" s="167"/>
      <c r="J17" s="167"/>
    </row>
    <row r="18" spans="1:10" x14ac:dyDescent="0.3">
      <c r="A18" s="324" t="s">
        <v>22</v>
      </c>
      <c r="B18" s="104">
        <v>0.02</v>
      </c>
      <c r="C18" s="213">
        <v>0.02</v>
      </c>
      <c r="D18" s="83" t="s">
        <v>94</v>
      </c>
      <c r="E18" s="322" t="s">
        <v>104</v>
      </c>
      <c r="G18" s="72" t="s">
        <v>155</v>
      </c>
      <c r="H18" s="138">
        <f>C14</f>
        <v>5000</v>
      </c>
      <c r="I18" s="163"/>
      <c r="J18" s="163"/>
    </row>
    <row r="19" spans="1:10" x14ac:dyDescent="0.3">
      <c r="A19" s="325"/>
      <c r="B19" s="105" t="s">
        <v>98</v>
      </c>
      <c r="C19" s="258">
        <f>C18*C16</f>
        <v>24287.302945523552</v>
      </c>
      <c r="D19" s="83" t="s">
        <v>14</v>
      </c>
      <c r="E19" s="323"/>
      <c r="G19" s="72" t="s">
        <v>154</v>
      </c>
      <c r="H19" s="134">
        <f>IFERROR(((C14/1000)*400000*(C14/1000)^-0.31)/C14,0)</f>
        <v>242.8730294552355</v>
      </c>
      <c r="I19" s="163"/>
      <c r="J19" s="163"/>
    </row>
    <row r="20" spans="1:10" ht="28.8" x14ac:dyDescent="0.3">
      <c r="A20" s="71" t="s">
        <v>24</v>
      </c>
      <c r="B20" s="103">
        <v>5</v>
      </c>
      <c r="C20" s="212">
        <v>10</v>
      </c>
      <c r="D20" s="83" t="s">
        <v>21</v>
      </c>
      <c r="E20" s="71" t="s">
        <v>284</v>
      </c>
      <c r="G20" s="72" t="s">
        <v>210</v>
      </c>
      <c r="H20" s="209">
        <v>1</v>
      </c>
      <c r="I20" s="163"/>
      <c r="J20" s="163"/>
    </row>
    <row r="21" spans="1:10" ht="15" thickBot="1" x14ac:dyDescent="0.35">
      <c r="A21" s="71" t="s">
        <v>25</v>
      </c>
      <c r="B21" s="104">
        <v>2.5000000000000001E-2</v>
      </c>
      <c r="C21" s="213">
        <v>2.5000000000000001E-2</v>
      </c>
      <c r="D21" s="83" t="s">
        <v>14</v>
      </c>
      <c r="E21" s="71" t="s">
        <v>106</v>
      </c>
      <c r="G21" s="72" t="s">
        <v>148</v>
      </c>
      <c r="H21" s="129">
        <f>H19*C14*H20</f>
        <v>1214365.1472761775</v>
      </c>
      <c r="I21" s="163"/>
      <c r="J21" s="163"/>
    </row>
    <row r="22" spans="1:10" x14ac:dyDescent="0.3">
      <c r="A22" s="71" t="s">
        <v>26</v>
      </c>
      <c r="B22" s="101">
        <v>0.8</v>
      </c>
      <c r="C22" s="226">
        <v>0.8</v>
      </c>
      <c r="D22" s="83"/>
      <c r="E22" s="71" t="s">
        <v>113</v>
      </c>
      <c r="I22" s="163"/>
      <c r="J22" s="163"/>
    </row>
    <row r="23" spans="1:10" ht="19.8" x14ac:dyDescent="0.3">
      <c r="A23" s="130" t="s">
        <v>143</v>
      </c>
      <c r="B23" s="130"/>
      <c r="C23" s="133">
        <f>C16+C6</f>
        <v>9404166.5467802789</v>
      </c>
      <c r="D23" s="83" t="str">
        <f>IF(C5&gt;1,"MAIN BOILER TOO SMALL TO MEET HEAT CONTRIBUTION","")</f>
        <v/>
      </c>
      <c r="E23" s="71"/>
      <c r="F23" s="166"/>
      <c r="I23" s="163"/>
      <c r="J23" s="163"/>
    </row>
    <row r="24" spans="1:10" ht="14.4" customHeight="1" x14ac:dyDescent="0.3">
      <c r="A24" s="165"/>
      <c r="B24" s="328"/>
      <c r="C24" s="328"/>
      <c r="D24" s="328"/>
      <c r="E24" s="329"/>
    </row>
    <row r="25" spans="1:10" ht="14.4" customHeight="1" x14ac:dyDescent="0.3">
      <c r="A25" s="165"/>
    </row>
    <row r="26" spans="1:10" x14ac:dyDescent="0.3">
      <c r="A26" s="165"/>
    </row>
    <row r="29" spans="1:10" x14ac:dyDescent="0.3">
      <c r="E29" s="232"/>
    </row>
  </sheetData>
  <sheetProtection algorithmName="SHA-512" hashValue="fTl7biOJ3ub9f7GInGtCAStdwgHQhLH9JMXuTzHvTVCFXGH4ZjF7erem3sHjPvIc4BZkQjdWrd2tRfDdxD597Q==" saltValue="j442nOFI53PPlAPebu7gVQ==" spinCount="100000" sheet="1" objects="1" scenarios="1" selectLockedCells="1"/>
  <mergeCells count="5">
    <mergeCell ref="A8:A9"/>
    <mergeCell ref="E8:E9"/>
    <mergeCell ref="B24:E24"/>
    <mergeCell ref="A18:A19"/>
    <mergeCell ref="E18:E19"/>
  </mergeCells>
  <pageMargins left="0.70866141732283472" right="0.70866141732283472" top="0.74803149606299213" bottom="0.74803149606299213" header="0.31496062992125984" footer="0.31496062992125984"/>
  <pageSetup paperSize="9" orientation="portrait" horizontalDpi="300" verticalDpi="300"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9"/>
  <dimension ref="A1:J28"/>
  <sheetViews>
    <sheetView zoomScale="90" zoomScaleNormal="90" workbookViewId="0">
      <selection activeCell="L36" sqref="L36"/>
    </sheetView>
  </sheetViews>
  <sheetFormatPr defaultColWidth="9.109375" defaultRowHeight="14.4" x14ac:dyDescent="0.3"/>
  <cols>
    <col min="1" max="1" width="29.44140625" style="163" customWidth="1"/>
    <col min="2" max="2" width="13.5546875" style="163" customWidth="1"/>
    <col min="3" max="3" width="14.21875" style="163" customWidth="1"/>
    <col min="4" max="4" width="14" style="163" customWidth="1"/>
    <col min="5" max="6" width="14.6640625" style="163" customWidth="1"/>
    <col min="7" max="7" width="12.6640625" style="161" customWidth="1"/>
    <col min="8" max="8" width="9.21875" style="161" customWidth="1"/>
    <col min="9" max="16384" width="9.109375" style="161"/>
  </cols>
  <sheetData>
    <row r="1" spans="1:9" ht="60" customHeight="1" x14ac:dyDescent="0.3"/>
    <row r="2" spans="1:9" ht="19.8" x14ac:dyDescent="0.3">
      <c r="A2" s="106" t="s">
        <v>140</v>
      </c>
      <c r="B2" s="108" t="s">
        <v>1</v>
      </c>
      <c r="C2" s="108" t="s">
        <v>97</v>
      </c>
      <c r="D2" s="161"/>
    </row>
    <row r="3" spans="1:9" x14ac:dyDescent="0.3">
      <c r="A3" s="70" t="s">
        <v>177</v>
      </c>
      <c r="B3" s="78">
        <f>'General Parameters'!C3</f>
        <v>150000</v>
      </c>
      <c r="C3" s="71" t="s">
        <v>157</v>
      </c>
      <c r="D3" s="161"/>
    </row>
    <row r="4" spans="1:9" x14ac:dyDescent="0.3">
      <c r="A4" s="72" t="s">
        <v>141</v>
      </c>
      <c r="B4" s="78">
        <f>'General Parameters'!C5</f>
        <v>100</v>
      </c>
      <c r="C4" s="6" t="s">
        <v>158</v>
      </c>
      <c r="D4" s="161"/>
    </row>
    <row r="5" spans="1:9" ht="18" customHeight="1" x14ac:dyDescent="0.3">
      <c r="A5" s="106" t="s">
        <v>114</v>
      </c>
      <c r="B5" s="94" t="s">
        <v>76</v>
      </c>
      <c r="C5" s="94" t="s">
        <v>290</v>
      </c>
      <c r="D5" s="94" t="s">
        <v>93</v>
      </c>
      <c r="E5" s="234" t="s">
        <v>214</v>
      </c>
      <c r="F5" s="234" t="s">
        <v>213</v>
      </c>
      <c r="G5" s="94" t="s">
        <v>102</v>
      </c>
      <c r="H5" s="94"/>
      <c r="I5" s="160"/>
    </row>
    <row r="6" spans="1:9" x14ac:dyDescent="0.3">
      <c r="A6" s="72" t="s">
        <v>160</v>
      </c>
      <c r="B6" s="157" t="s">
        <v>107</v>
      </c>
      <c r="C6" s="154">
        <f>Bioenergy!C3</f>
        <v>0.5</v>
      </c>
      <c r="D6" s="158">
        <f>' Solar-thermal'!C3</f>
        <v>0.5</v>
      </c>
      <c r="E6" s="158">
        <f>'Heat Pump'!C3</f>
        <v>0.5</v>
      </c>
      <c r="F6" s="158">
        <f>Geothermal!C3</f>
        <v>0.7</v>
      </c>
      <c r="G6" s="154">
        <f>Other!C3</f>
        <v>0.8</v>
      </c>
      <c r="H6" s="71"/>
    </row>
    <row r="7" spans="1:9" x14ac:dyDescent="0.3">
      <c r="A7" s="72" t="s">
        <v>5</v>
      </c>
      <c r="B7" s="78">
        <f>Baseline!C4</f>
        <v>5000</v>
      </c>
      <c r="C7" s="78">
        <f>Bioenergy!C4</f>
        <v>5000</v>
      </c>
      <c r="D7" s="78">
        <f>' Solar-thermal'!C5</f>
        <v>7201.9915048022458</v>
      </c>
      <c r="E7" s="78">
        <f>'Heat Pump'!C5</f>
        <v>1274.6801011830869</v>
      </c>
      <c r="F7" s="78">
        <f>Geothermal!C7</f>
        <v>3348.8</v>
      </c>
      <c r="G7" s="78">
        <f>Other!C4</f>
        <v>5000</v>
      </c>
      <c r="H7" s="71" t="s">
        <v>6</v>
      </c>
    </row>
    <row r="8" spans="1:9" x14ac:dyDescent="0.3">
      <c r="A8" s="72" t="s">
        <v>295</v>
      </c>
      <c r="B8" s="132">
        <f>Baseline!C6</f>
        <v>0</v>
      </c>
      <c r="C8" s="132">
        <f>Bioenergy!C6</f>
        <v>8189801.3995041018</v>
      </c>
      <c r="D8" s="132">
        <f>' Solar-thermal'!C6</f>
        <v>3740877.3967372137</v>
      </c>
      <c r="E8" s="132">
        <f>'Heat Pump'!C6</f>
        <v>1114060.2991593895</v>
      </c>
      <c r="F8" s="132">
        <f>Geothermal!C16</f>
        <v>5440000</v>
      </c>
      <c r="G8" s="132">
        <f>Other!C6</f>
        <v>8189801.3995041018</v>
      </c>
      <c r="H8" s="73"/>
    </row>
    <row r="9" spans="1:9" x14ac:dyDescent="0.3">
      <c r="A9" s="71" t="s">
        <v>156</v>
      </c>
      <c r="B9" s="155">
        <f>Baseline!C7</f>
        <v>0</v>
      </c>
      <c r="C9" s="155">
        <f>Bioenergy!C7</f>
        <v>0</v>
      </c>
      <c r="D9" s="155">
        <f>' Solar-thermal'!C7</f>
        <v>0</v>
      </c>
      <c r="E9" s="155">
        <f>'Heat Pump'!C7</f>
        <v>0</v>
      </c>
      <c r="F9" s="155">
        <f>Geothermal!C10</f>
        <v>0</v>
      </c>
      <c r="G9" s="155">
        <f>Other!C7</f>
        <v>0</v>
      </c>
      <c r="H9" s="71" t="s">
        <v>21</v>
      </c>
    </row>
    <row r="10" spans="1:9" x14ac:dyDescent="0.3">
      <c r="A10" s="71" t="s">
        <v>22</v>
      </c>
      <c r="B10" s="304">
        <f>Baseline!C8</f>
        <v>0</v>
      </c>
      <c r="C10" s="304">
        <f>Bioenergy!C9</f>
        <v>163796.02799008205</v>
      </c>
      <c r="D10" s="304">
        <f>' Solar-thermal'!C8</f>
        <v>0.02</v>
      </c>
      <c r="E10" s="304">
        <f>'Heat Pump'!C8</f>
        <v>0.02</v>
      </c>
      <c r="F10" s="304">
        <f>Geothermal!C11</f>
        <v>0.02</v>
      </c>
      <c r="G10" s="304">
        <f>Other!C8</f>
        <v>0.02</v>
      </c>
      <c r="H10" s="71" t="s">
        <v>94</v>
      </c>
    </row>
    <row r="11" spans="1:9" x14ac:dyDescent="0.3">
      <c r="A11" s="71" t="s">
        <v>24</v>
      </c>
      <c r="B11" s="79">
        <f>Baseline!C10</f>
        <v>10</v>
      </c>
      <c r="C11" s="79">
        <f>Bioenergy!C10</f>
        <v>5</v>
      </c>
      <c r="D11" s="156" t="str">
        <f>' Solar-thermal'!C10</f>
        <v>n/a</v>
      </c>
      <c r="E11" s="238">
        <f>HeatPump_DCF!B17</f>
        <v>27.777777777777779</v>
      </c>
      <c r="F11" s="155">
        <f>Geo_DCF!B17</f>
        <v>27.777777777777779</v>
      </c>
      <c r="G11" s="79">
        <f>Other!C10</f>
        <v>0</v>
      </c>
      <c r="H11" s="71" t="s">
        <v>21</v>
      </c>
    </row>
    <row r="12" spans="1:9" x14ac:dyDescent="0.3">
      <c r="A12" s="71" t="s">
        <v>25</v>
      </c>
      <c r="B12" s="150">
        <f>Baseline!C11</f>
        <v>2.5000000000000001E-2</v>
      </c>
      <c r="C12" s="150">
        <f>Bioenergy!C11</f>
        <v>2.5000000000000001E-2</v>
      </c>
      <c r="D12" s="151" t="str">
        <f>' Solar-thermal'!C11</f>
        <v>n/a</v>
      </c>
      <c r="E12" s="151">
        <f>'Heat Pump'!C11</f>
        <v>2.5000000000000001E-2</v>
      </c>
      <c r="F12" s="246">
        <f>Geothermal!C14</f>
        <v>2.5000000000000001E-2</v>
      </c>
      <c r="G12" s="150">
        <f>Other!C11</f>
        <v>2.5000000000000001E-2</v>
      </c>
      <c r="H12" s="71" t="s">
        <v>14</v>
      </c>
    </row>
    <row r="13" spans="1:9" x14ac:dyDescent="0.3">
      <c r="A13" s="71" t="s">
        <v>26</v>
      </c>
      <c r="B13" s="152">
        <f>Baseline!C12</f>
        <v>0.8</v>
      </c>
      <c r="C13" s="152">
        <f>Bioenergy!C12</f>
        <v>0.8</v>
      </c>
      <c r="D13" s="153" t="str">
        <f>' Solar-thermal'!C12</f>
        <v>n/a</v>
      </c>
      <c r="E13" s="153">
        <f>'Heat Pump'!C12</f>
        <v>2.3321874999999999</v>
      </c>
      <c r="F13" s="245">
        <f>Geothermal!C15</f>
        <v>41.907840000000007</v>
      </c>
      <c r="G13" s="152">
        <f>Other!C12</f>
        <v>0.8</v>
      </c>
      <c r="H13" s="71"/>
    </row>
    <row r="14" spans="1:9" x14ac:dyDescent="0.3">
      <c r="A14" s="71" t="s">
        <v>296</v>
      </c>
      <c r="B14" s="78">
        <v>0</v>
      </c>
      <c r="C14" s="78">
        <f>Bioenergy!C15</f>
        <v>5000</v>
      </c>
      <c r="D14" s="78">
        <f>' Solar-thermal'!C14</f>
        <v>5000</v>
      </c>
      <c r="E14" s="78">
        <v>0</v>
      </c>
      <c r="F14" s="78">
        <v>0</v>
      </c>
      <c r="G14" s="78">
        <v>0</v>
      </c>
      <c r="H14" s="71" t="s">
        <v>6</v>
      </c>
    </row>
    <row r="15" spans="1:9" x14ac:dyDescent="0.3">
      <c r="A15" s="71" t="s">
        <v>297</v>
      </c>
      <c r="B15" s="304"/>
      <c r="C15" s="305">
        <f>Bioenergy!C17</f>
        <v>1214365</v>
      </c>
      <c r="D15" s="305">
        <f>' Solar-thermal'!C16</f>
        <v>1214365.1472761775</v>
      </c>
      <c r="E15" s="305"/>
      <c r="F15" s="305"/>
      <c r="G15" s="305"/>
      <c r="H15" s="71"/>
    </row>
    <row r="16" spans="1:9" x14ac:dyDescent="0.3">
      <c r="A16" s="71" t="s">
        <v>298</v>
      </c>
      <c r="B16" s="304"/>
      <c r="C16" s="305">
        <f>Bioenergy!C24</f>
        <v>9404166.3995041028</v>
      </c>
      <c r="D16" s="305">
        <f>' Solar-thermal'!C23</f>
        <v>4955242.5440133912</v>
      </c>
      <c r="E16" s="305"/>
      <c r="F16" s="305"/>
      <c r="G16" s="305"/>
      <c r="H16" s="71"/>
    </row>
    <row r="17" spans="1:10" ht="19.2" customHeight="1" x14ac:dyDescent="0.3">
      <c r="A17" s="106" t="s">
        <v>259</v>
      </c>
      <c r="B17" s="248" t="str">
        <f>Baseline!B13</f>
        <v/>
      </c>
      <c r="C17" s="248" t="str">
        <f>IF(Bioenergy!B14="",Bioenergy!B13,Bioenergy!B14)</f>
        <v/>
      </c>
      <c r="D17" s="248" t="str">
        <f>' Solar-thermal'!B13</f>
        <v/>
      </c>
      <c r="E17" s="248" t="str">
        <f>'Heat Pump'!B14</f>
        <v/>
      </c>
      <c r="F17" s="248" t="str">
        <f>Geothermal!B17</f>
        <v/>
      </c>
      <c r="G17" s="248" t="str">
        <f>IF(Other!B24="",Other!D23,Other!B24)</f>
        <v/>
      </c>
      <c r="H17" s="249"/>
    </row>
    <row r="18" spans="1:10" ht="18" customHeight="1" x14ac:dyDescent="0.3">
      <c r="A18" s="106" t="s">
        <v>115</v>
      </c>
      <c r="B18" s="248"/>
      <c r="C18" s="248"/>
      <c r="D18" s="248"/>
      <c r="E18" s="248"/>
      <c r="F18" s="248"/>
      <c r="G18" s="248"/>
      <c r="H18" s="249"/>
    </row>
    <row r="19" spans="1:10" x14ac:dyDescent="0.3">
      <c r="A19" s="159" t="s">
        <v>146</v>
      </c>
      <c r="B19" s="81">
        <f>Baseline!H3</f>
        <v>187500</v>
      </c>
      <c r="C19" s="81">
        <f>Bioenergy!I3</f>
        <v>93750</v>
      </c>
      <c r="D19" s="81">
        <f>' Solar-thermal'!I3</f>
        <v>93750</v>
      </c>
      <c r="E19" s="81">
        <f>'Heat Pump'!I3</f>
        <v>0</v>
      </c>
      <c r="F19" s="247">
        <f>Geothermal!I3</f>
        <v>0</v>
      </c>
      <c r="G19" s="81">
        <f>Other!I3</f>
        <v>37500.000000000015</v>
      </c>
      <c r="H19" s="71" t="s">
        <v>32</v>
      </c>
    </row>
    <row r="20" spans="1:10" x14ac:dyDescent="0.3">
      <c r="A20" s="159" t="s">
        <v>147</v>
      </c>
      <c r="B20" s="81" t="str">
        <f>Baseline!H4</f>
        <v>n/a</v>
      </c>
      <c r="C20" s="81">
        <f>Bioenergy!I4</f>
        <v>93750</v>
      </c>
      <c r="D20" s="81">
        <f>' Solar-thermal'!I5</f>
        <v>0</v>
      </c>
      <c r="E20" s="81">
        <f>HeatPump_DCF!D21</f>
        <v>32158.649336727867</v>
      </c>
      <c r="F20" s="81">
        <f>Geo_DCF!D21</f>
        <v>2505.4977779813985</v>
      </c>
      <c r="G20" s="81">
        <f>Other!I4</f>
        <v>149999.99999999997</v>
      </c>
      <c r="H20" s="71" t="s">
        <v>32</v>
      </c>
    </row>
    <row r="21" spans="1:10" x14ac:dyDescent="0.3">
      <c r="A21" s="159" t="s">
        <v>144</v>
      </c>
      <c r="B21" s="82">
        <f>Baseline!H5</f>
        <v>1875000</v>
      </c>
      <c r="C21" s="82">
        <f>Bioenergy!I5</f>
        <v>937500</v>
      </c>
      <c r="D21" s="82">
        <f>' Solar-thermal'!I6</f>
        <v>937500</v>
      </c>
      <c r="E21" s="82">
        <f>'Heat Pump'!I5</f>
        <v>0</v>
      </c>
      <c r="F21" s="82">
        <f>Geothermal!I6</f>
        <v>0</v>
      </c>
      <c r="G21" s="82">
        <f>Other!I5</f>
        <v>375000.00000000017</v>
      </c>
      <c r="H21" s="71"/>
    </row>
    <row r="22" spans="1:10" x14ac:dyDescent="0.3">
      <c r="A22" s="159" t="s">
        <v>145</v>
      </c>
      <c r="B22" s="82" t="str">
        <f>Baseline!H6</f>
        <v>n/a</v>
      </c>
      <c r="C22" s="82">
        <f>Bioenergy!I6</f>
        <v>468750</v>
      </c>
      <c r="D22" s="82">
        <f>' Solar-thermal'!I7</f>
        <v>0</v>
      </c>
      <c r="E22" s="82">
        <f>'Heat Pump'!I6</f>
        <v>893295.8149091074</v>
      </c>
      <c r="F22" s="82">
        <f>Geothermal!I7</f>
        <v>69597.160499483289</v>
      </c>
      <c r="G22" s="82">
        <f>Other!I6</f>
        <v>0</v>
      </c>
      <c r="H22" s="71"/>
      <c r="I22" s="162"/>
      <c r="J22" s="162"/>
    </row>
    <row r="23" spans="1:10" x14ac:dyDescent="0.3">
      <c r="A23" s="159" t="s">
        <v>31</v>
      </c>
      <c r="B23" s="81">
        <f>Baseline!H7</f>
        <v>150000</v>
      </c>
      <c r="C23" s="81">
        <f>Bioenergy!I7</f>
        <v>150000</v>
      </c>
      <c r="D23" s="81">
        <f>' Solar-thermal'!I8</f>
        <v>150000</v>
      </c>
      <c r="E23" s="81">
        <f>'Heat Pump'!I7</f>
        <v>75000.000000000015</v>
      </c>
      <c r="F23" s="81">
        <f>Geothermal!I8</f>
        <v>104999.99999999999</v>
      </c>
      <c r="G23" s="81">
        <f>Other!I7</f>
        <v>150000</v>
      </c>
      <c r="H23" s="71"/>
      <c r="I23" s="162"/>
      <c r="J23" s="162"/>
    </row>
    <row r="24" spans="1:10" x14ac:dyDescent="0.3">
      <c r="A24" s="159" t="s">
        <v>110</v>
      </c>
      <c r="B24" s="148">
        <f>Baseline!H9</f>
        <v>12.500000000000014</v>
      </c>
      <c r="C24" s="148">
        <f>Bioenergy!I8</f>
        <v>16.26693102178286</v>
      </c>
      <c r="D24" s="148">
        <f>' Solar-thermal'!I9</f>
        <v>9.8814956965611529</v>
      </c>
      <c r="E24" s="148">
        <f>'Heat Pump'!I8</f>
        <v>13.543509818905482</v>
      </c>
      <c r="F24" s="148">
        <f>Geothermal!I9</f>
        <v>6.3581939823081894</v>
      </c>
      <c r="G24" s="148">
        <f>Other!I8</f>
        <v>9.3919311297155765</v>
      </c>
      <c r="H24" s="71" t="s">
        <v>21</v>
      </c>
      <c r="I24" s="162"/>
      <c r="J24" s="162"/>
    </row>
    <row r="25" spans="1:10" x14ac:dyDescent="0.3">
      <c r="A25" s="159" t="s">
        <v>111</v>
      </c>
      <c r="B25" s="148">
        <f>Baseline!H10</f>
        <v>12.500000000000014</v>
      </c>
      <c r="C25" s="148">
        <f>Bioenergy!I9</f>
        <v>16.26693102178286</v>
      </c>
      <c r="D25" s="148">
        <f>' Solar-thermal'!I10</f>
        <v>9.8814956965611529</v>
      </c>
      <c r="E25" s="148">
        <f>'Heat Pump'!I9</f>
        <v>13.543509818905482</v>
      </c>
      <c r="F25" s="148">
        <f>Geothermal!I10</f>
        <v>6.3581939823081894</v>
      </c>
      <c r="G25" s="148">
        <f>Other!I9</f>
        <v>9.3919311297155765</v>
      </c>
      <c r="H25" s="71" t="s">
        <v>21</v>
      </c>
      <c r="I25" s="162"/>
      <c r="J25" s="162"/>
    </row>
    <row r="26" spans="1:10" x14ac:dyDescent="0.3">
      <c r="A26" s="159" t="s">
        <v>142</v>
      </c>
      <c r="B26" s="82">
        <f>Baseline!H11</f>
        <v>1875000.0000000021</v>
      </c>
      <c r="C26" s="82">
        <f>Bioenergy!I10</f>
        <v>2440039.6532674287</v>
      </c>
      <c r="D26" s="82">
        <f>' Solar-thermal'!I11</f>
        <v>1482224.354484173</v>
      </c>
      <c r="E26" s="82">
        <f>'Heat Pump'!I10</f>
        <v>1015763.2364179114</v>
      </c>
      <c r="F26" s="82">
        <f>Geothermal!I11</f>
        <v>667610.36814235977</v>
      </c>
      <c r="G26" s="82">
        <f>Other!I10</f>
        <v>1408789.6694573364</v>
      </c>
      <c r="H26" s="71" t="s">
        <v>14</v>
      </c>
      <c r="I26" s="162"/>
      <c r="J26" s="162"/>
    </row>
    <row r="27" spans="1:10" x14ac:dyDescent="0.3">
      <c r="A27" s="159" t="s">
        <v>119</v>
      </c>
      <c r="B27" s="81" t="str">
        <f>Baseline!H12</f>
        <v>n/a</v>
      </c>
      <c r="C27" s="149">
        <f>Bioenergy!I11</f>
        <v>-4.8396945511993916E-2</v>
      </c>
      <c r="D27" s="149">
        <f>' Solar-thermal'!I12</f>
        <v>0.27243256228123669</v>
      </c>
      <c r="E27" s="149">
        <f>'Heat Pump'!I11</f>
        <v>2.3092328349749023</v>
      </c>
      <c r="F27" s="149">
        <f>Geothermal!I12</f>
        <v>0.67322359179965874</v>
      </c>
      <c r="G27" s="149">
        <f>Other!I11</f>
        <v>0.20659901373493583</v>
      </c>
      <c r="H27" s="71" t="s">
        <v>14</v>
      </c>
      <c r="I27" s="162"/>
      <c r="J27" s="162"/>
    </row>
    <row r="28" spans="1:10" x14ac:dyDescent="0.3">
      <c r="A28" s="159" t="s">
        <v>120</v>
      </c>
      <c r="B28" s="81" t="str">
        <f>Baseline!H13</f>
        <v>n/a</v>
      </c>
      <c r="C28" s="82">
        <f>Bioenergy!I12</f>
        <v>-5841311.0764286565</v>
      </c>
      <c r="D28" s="82">
        <f>' Solar-thermal'!I13</f>
        <v>4060466.7573961355</v>
      </c>
      <c r="E28" s="82">
        <f>'Heat Pump'!I12</f>
        <v>13655204.339223348</v>
      </c>
      <c r="F28" s="82">
        <f>Geothermal!I13</f>
        <v>14333109.800120771</v>
      </c>
      <c r="G28" s="82">
        <f>Other!I12</f>
        <v>4819625.5820216527</v>
      </c>
      <c r="H28" s="71"/>
    </row>
  </sheetData>
  <sheetProtection algorithmName="SHA-512" hashValue="Wjiz3Lzahz1hrwPJG9cUkPg2O3W30dCfEXfjBF9x+K244X7N9HO/TOKBGg8KqoazOX255EB/q5OsneQgUtwqdA==" saltValue="i92UZaETNXQU9hfv1PCqBw==" spinCount="100000" sheet="1" objects="1" scenarios="1" selectLockedCells="1"/>
  <pageMargins left="0.25" right="0.25" top="0.75" bottom="0.75" header="0.3" footer="0.3"/>
  <pageSetup paperSize="9" orientation="landscape" horizontalDpi="300" verticalDpi="300" r:id="rId1"/>
  <drawing r:id="rId2"/>
  <legacyDrawing r:id="rId3"/>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dimension ref="A1:AD89"/>
  <sheetViews>
    <sheetView topLeftCell="O40" workbookViewId="0">
      <selection activeCell="X55" sqref="X55"/>
    </sheetView>
  </sheetViews>
  <sheetFormatPr defaultColWidth="9.109375" defaultRowHeight="13.2" x14ac:dyDescent="0.25"/>
  <cols>
    <col min="1" max="1" width="41.33203125" style="4" customWidth="1"/>
    <col min="2" max="2" width="17.88671875" style="4" bestFit="1" customWidth="1"/>
    <col min="3" max="3" width="8.109375" style="4" customWidth="1"/>
    <col min="4" max="4" width="9.5546875" style="4" bestFit="1" customWidth="1"/>
    <col min="5" max="5" width="5.33203125" style="4" customWidth="1"/>
    <col min="6" max="6" width="14.88671875" style="4" bestFit="1" customWidth="1"/>
    <col min="7" max="7" width="15.44140625" style="4" bestFit="1" customWidth="1"/>
    <col min="8" max="8" width="17.44140625" style="4" bestFit="1" customWidth="1"/>
    <col min="9" max="10" width="14.44140625" style="4" bestFit="1" customWidth="1"/>
    <col min="11" max="11" width="15.44140625" style="4" bestFit="1" customWidth="1"/>
    <col min="12" max="12" width="14.88671875" style="4" customWidth="1"/>
    <col min="13" max="13" width="14.44140625" style="4" bestFit="1" customWidth="1"/>
    <col min="14" max="14" width="12.6640625" style="4" bestFit="1" customWidth="1"/>
    <col min="15" max="15" width="13.44140625" style="4" bestFit="1" customWidth="1"/>
    <col min="16" max="16" width="11.6640625" style="4" bestFit="1" customWidth="1"/>
    <col min="17" max="18" width="13.44140625" style="4" bestFit="1" customWidth="1"/>
    <col min="19" max="20" width="14.44140625" style="4" bestFit="1" customWidth="1"/>
    <col min="21" max="21" width="13.44140625" style="4" customWidth="1"/>
    <col min="22" max="22" width="14.44140625" style="4" bestFit="1" customWidth="1"/>
    <col min="23" max="30" width="15.6640625" style="4" customWidth="1"/>
    <col min="31" max="31" width="12.6640625" style="4" bestFit="1" customWidth="1"/>
    <col min="32" max="32" width="12.109375" style="4" customWidth="1"/>
    <col min="33" max="16384" width="9.109375" style="4"/>
  </cols>
  <sheetData>
    <row r="1" spans="1:6" ht="20.399999999999999" thickBot="1" x14ac:dyDescent="0.45">
      <c r="A1" s="2" t="s">
        <v>4</v>
      </c>
    </row>
    <row r="2" spans="1:6" ht="13.8" thickTop="1" x14ac:dyDescent="0.25">
      <c r="A2" s="3" t="s">
        <v>3</v>
      </c>
      <c r="B2" s="4" t="s">
        <v>36</v>
      </c>
    </row>
    <row r="3" spans="1:6" x14ac:dyDescent="0.25">
      <c r="A3" s="5" t="s">
        <v>5</v>
      </c>
      <c r="B3" s="61">
        <f>Baseline!C4</f>
        <v>5000</v>
      </c>
      <c r="C3" s="6" t="s">
        <v>6</v>
      </c>
      <c r="D3" s="6"/>
      <c r="E3" s="6"/>
    </row>
    <row r="4" spans="1:6" x14ac:dyDescent="0.25">
      <c r="A4" s="5" t="s">
        <v>7</v>
      </c>
      <c r="B4" s="62">
        <f>'General Parameters'!C3/(Baseline_DCF!B3*8760*0.0036)</f>
        <v>0.9512937595129376</v>
      </c>
      <c r="C4" s="6"/>
      <c r="D4" s="6"/>
      <c r="E4" s="6"/>
      <c r="F4" s="4" t="s">
        <v>1</v>
      </c>
    </row>
    <row r="5" spans="1:6" x14ac:dyDescent="0.25">
      <c r="A5" s="5" t="s">
        <v>8</v>
      </c>
      <c r="B5" s="145">
        <f>IFERROR(Baseline!C6/Baseline!C4,0)</f>
        <v>0</v>
      </c>
      <c r="C5" s="6" t="s">
        <v>9</v>
      </c>
      <c r="D5" s="6"/>
      <c r="E5" s="6"/>
    </row>
    <row r="6" spans="1:6" x14ac:dyDescent="0.25">
      <c r="A6" s="5" t="s">
        <v>10</v>
      </c>
      <c r="B6" s="18">
        <f>'General Parameters'!C7</f>
        <v>0.6</v>
      </c>
      <c r="C6" s="6" t="s">
        <v>1</v>
      </c>
      <c r="D6" s="6"/>
      <c r="E6" s="6"/>
    </row>
    <row r="7" spans="1:6" x14ac:dyDescent="0.25">
      <c r="A7" s="5" t="s">
        <v>11</v>
      </c>
      <c r="B7" s="18">
        <f>'General Parameters'!C8</f>
        <v>10</v>
      </c>
      <c r="C7" s="6" t="s">
        <v>12</v>
      </c>
      <c r="D7" s="6"/>
      <c r="E7" s="6"/>
    </row>
    <row r="8" spans="1:6" ht="14.4" x14ac:dyDescent="0.3">
      <c r="A8" s="5" t="s">
        <v>13</v>
      </c>
      <c r="B8" s="64">
        <f>'General Parameters'!C9</f>
        <v>7.4999999999999997E-2</v>
      </c>
      <c r="C8" s="6" t="s">
        <v>14</v>
      </c>
      <c r="D8" s="6"/>
      <c r="E8" s="6"/>
    </row>
    <row r="9" spans="1:6" ht="14.4" x14ac:dyDescent="0.3">
      <c r="A9" s="5" t="s">
        <v>15</v>
      </c>
      <c r="B9" s="64">
        <f>'General Parameters'!C10</f>
        <v>0.1</v>
      </c>
      <c r="C9" s="6" t="s">
        <v>14</v>
      </c>
      <c r="D9" s="6"/>
      <c r="E9" s="6"/>
    </row>
    <row r="10" spans="1:6" ht="14.4" x14ac:dyDescent="0.3">
      <c r="A10" s="5" t="s">
        <v>16</v>
      </c>
      <c r="B10" s="65">
        <f>'General Parameters'!C11</f>
        <v>0</v>
      </c>
      <c r="C10" s="6" t="s">
        <v>14</v>
      </c>
      <c r="D10" s="6"/>
      <c r="E10" s="6"/>
    </row>
    <row r="11" spans="1:6" x14ac:dyDescent="0.25">
      <c r="A11" s="5" t="s">
        <v>17</v>
      </c>
      <c r="B11" s="18">
        <f>'General Parameters'!C13</f>
        <v>15</v>
      </c>
      <c r="C11" s="6" t="s">
        <v>0</v>
      </c>
      <c r="D11" s="6"/>
      <c r="E11" s="6"/>
    </row>
    <row r="12" spans="1:6" x14ac:dyDescent="0.25">
      <c r="A12" s="5" t="s">
        <v>18</v>
      </c>
      <c r="B12" s="18">
        <f>'General Parameters'!C14</f>
        <v>20</v>
      </c>
      <c r="C12" s="6" t="s">
        <v>0</v>
      </c>
      <c r="D12" s="6"/>
      <c r="E12" s="6"/>
    </row>
    <row r="13" spans="1:6" ht="14.4" x14ac:dyDescent="0.3">
      <c r="A13" s="7" t="s">
        <v>19</v>
      </c>
      <c r="B13" s="64">
        <f>'General Parameters'!C15</f>
        <v>0.05</v>
      </c>
      <c r="C13" s="6" t="s">
        <v>14</v>
      </c>
      <c r="D13" s="6"/>
      <c r="E13" s="6"/>
    </row>
    <row r="14" spans="1:6" x14ac:dyDescent="0.25">
      <c r="A14" s="5" t="s">
        <v>37</v>
      </c>
      <c r="B14" s="18">
        <f>Baseline!C7</f>
        <v>0</v>
      </c>
      <c r="C14" s="6" t="s">
        <v>21</v>
      </c>
      <c r="D14" s="8">
        <f>B14/0.0036</f>
        <v>0</v>
      </c>
      <c r="E14" s="6" t="s">
        <v>20</v>
      </c>
    </row>
    <row r="15" spans="1:6" x14ac:dyDescent="0.25">
      <c r="A15" s="67" t="s">
        <v>38</v>
      </c>
      <c r="B15" s="18">
        <f>Baseline!C9</f>
        <v>0</v>
      </c>
      <c r="C15" s="6" t="s">
        <v>14</v>
      </c>
      <c r="D15" s="6"/>
      <c r="E15" s="6"/>
    </row>
    <row r="16" spans="1:6" ht="14.4" x14ac:dyDescent="0.3">
      <c r="A16" s="5" t="s">
        <v>23</v>
      </c>
      <c r="B16" s="66">
        <f>'General Parameters'!C12</f>
        <v>2.5000000000000001E-2</v>
      </c>
      <c r="C16" s="6" t="s">
        <v>14</v>
      </c>
      <c r="D16" s="6"/>
      <c r="E16" s="6"/>
    </row>
    <row r="17" spans="1:6" x14ac:dyDescent="0.25">
      <c r="A17" s="5" t="s">
        <v>24</v>
      </c>
      <c r="B17" s="18">
        <f>Baseline!C10</f>
        <v>10</v>
      </c>
      <c r="C17" s="6" t="s">
        <v>21</v>
      </c>
      <c r="D17" s="6">
        <f>B17*0.0036</f>
        <v>3.5999999999999997E-2</v>
      </c>
      <c r="E17" s="6" t="s">
        <v>20</v>
      </c>
    </row>
    <row r="18" spans="1:6" ht="14.4" x14ac:dyDescent="0.3">
      <c r="A18" s="5" t="s">
        <v>25</v>
      </c>
      <c r="B18" s="66">
        <f>Baseline!C11</f>
        <v>2.5000000000000001E-2</v>
      </c>
      <c r="C18" s="6"/>
      <c r="D18" s="6"/>
      <c r="E18" s="6"/>
    </row>
    <row r="19" spans="1:6" ht="14.4" x14ac:dyDescent="0.3">
      <c r="A19" s="5" t="s">
        <v>39</v>
      </c>
      <c r="B19" s="65">
        <f>Baseline!C12</f>
        <v>0.8</v>
      </c>
      <c r="C19" s="6"/>
      <c r="D19" s="6"/>
      <c r="E19" s="6"/>
    </row>
    <row r="20" spans="1:6" x14ac:dyDescent="0.25">
      <c r="A20" s="3" t="s">
        <v>27</v>
      </c>
    </row>
    <row r="21" spans="1:6" x14ac:dyDescent="0.25">
      <c r="A21" s="5" t="s">
        <v>28</v>
      </c>
      <c r="B21" s="6">
        <f>B23/B19</f>
        <v>52083333.333333336</v>
      </c>
      <c r="C21" s="6" t="s">
        <v>29</v>
      </c>
      <c r="D21" s="6">
        <f>D23/B19</f>
        <v>187500</v>
      </c>
      <c r="E21" s="6"/>
    </row>
    <row r="22" spans="1:6" x14ac:dyDescent="0.25">
      <c r="A22" s="5" t="s">
        <v>30</v>
      </c>
      <c r="B22" s="19">
        <f>B21*B17*0.0036</f>
        <v>1875000</v>
      </c>
      <c r="C22" s="6"/>
      <c r="D22" s="6"/>
      <c r="E22" s="6"/>
    </row>
    <row r="23" spans="1:6" x14ac:dyDescent="0.25">
      <c r="A23" s="5" t="s">
        <v>31</v>
      </c>
      <c r="B23" s="6">
        <f>B3*B4*365*24</f>
        <v>41666666.666666672</v>
      </c>
      <c r="C23" s="6" t="s">
        <v>29</v>
      </c>
      <c r="D23" s="6">
        <f>B23*0.0036</f>
        <v>150000</v>
      </c>
      <c r="E23" s="6" t="s">
        <v>32</v>
      </c>
    </row>
    <row r="24" spans="1:6" x14ac:dyDescent="0.25">
      <c r="A24" s="5" t="s">
        <v>33</v>
      </c>
      <c r="B24" s="19">
        <f>B5*B3</f>
        <v>0</v>
      </c>
      <c r="C24" s="6" t="s">
        <v>34</v>
      </c>
      <c r="D24" s="6"/>
      <c r="E24" s="6"/>
    </row>
    <row r="25" spans="1:6" x14ac:dyDescent="0.25">
      <c r="A25" s="5" t="s">
        <v>40</v>
      </c>
      <c r="B25" s="19">
        <f>B13*B24</f>
        <v>0</v>
      </c>
      <c r="C25" s="6" t="s">
        <v>34</v>
      </c>
      <c r="D25" s="6"/>
      <c r="E25" s="6"/>
    </row>
    <row r="26" spans="1:6" x14ac:dyDescent="0.25">
      <c r="A26" s="5" t="s">
        <v>41</v>
      </c>
      <c r="B26" s="19">
        <f>B24*B6</f>
        <v>0</v>
      </c>
      <c r="C26" s="6" t="s">
        <v>34</v>
      </c>
      <c r="D26" s="6"/>
      <c r="E26" s="6"/>
    </row>
    <row r="27" spans="1:6" x14ac:dyDescent="0.25">
      <c r="A27" s="5" t="s">
        <v>42</v>
      </c>
      <c r="B27" s="19">
        <f>B24-B26</f>
        <v>0</v>
      </c>
      <c r="C27" s="6" t="s">
        <v>34</v>
      </c>
      <c r="D27" s="6"/>
      <c r="E27" s="6"/>
    </row>
    <row r="28" spans="1:6" x14ac:dyDescent="0.25">
      <c r="A28" s="5" t="s">
        <v>43</v>
      </c>
      <c r="B28" s="20">
        <f>(B8*(1+B8)^B7)/((1+B8)^B7-1)</f>
        <v>0.14568592742612235</v>
      </c>
      <c r="C28" s="6" t="s">
        <v>14</v>
      </c>
      <c r="D28" s="6"/>
      <c r="E28" s="6"/>
    </row>
    <row r="29" spans="1:6" x14ac:dyDescent="0.25">
      <c r="A29" s="5" t="s">
        <v>44</v>
      </c>
      <c r="B29" s="21">
        <f>B28*B26</f>
        <v>0</v>
      </c>
      <c r="C29" s="6" t="s">
        <v>45</v>
      </c>
      <c r="D29" s="6"/>
      <c r="E29" s="6"/>
      <c r="F29" s="4" t="s">
        <v>1</v>
      </c>
    </row>
    <row r="30" spans="1:6" x14ac:dyDescent="0.25">
      <c r="A30" s="5" t="s">
        <v>46</v>
      </c>
      <c r="B30" s="20">
        <f>(B9*(1+B9)^B12)/((1+B9)^B12-1)</f>
        <v>0.11745962477254576</v>
      </c>
      <c r="C30" s="6" t="s">
        <v>14</v>
      </c>
      <c r="D30" s="6"/>
      <c r="E30" s="6"/>
    </row>
    <row r="31" spans="1:6" x14ac:dyDescent="0.25">
      <c r="A31" s="5" t="s">
        <v>47</v>
      </c>
      <c r="B31" s="20">
        <f>(1+B9)/(1+B16)-1</f>
        <v>7.317073170731736E-2</v>
      </c>
      <c r="C31" s="6"/>
      <c r="D31" s="6"/>
      <c r="E31" s="6"/>
    </row>
    <row r="32" spans="1:6" x14ac:dyDescent="0.25">
      <c r="A32" s="5" t="s">
        <v>48</v>
      </c>
      <c r="B32" s="20">
        <f>(B31*(1+B31)^B12)/((1+B31)^B12-1)</f>
        <v>9.6731649089452268E-2</v>
      </c>
      <c r="C32" s="6"/>
      <c r="D32" s="6"/>
      <c r="E32" s="6"/>
    </row>
    <row r="33" spans="1:30" x14ac:dyDescent="0.25">
      <c r="A33" s="7" t="s">
        <v>49</v>
      </c>
      <c r="B33" s="19">
        <f>B24/B11</f>
        <v>0</v>
      </c>
      <c r="C33" s="6" t="s">
        <v>34</v>
      </c>
      <c r="D33" s="6"/>
      <c r="E33" s="6"/>
    </row>
    <row r="34" spans="1:30" x14ac:dyDescent="0.25">
      <c r="A34" s="5" t="s">
        <v>50</v>
      </c>
      <c r="B34" s="19">
        <f>-SUM(Baseline_DCF!V50:V89)</f>
        <v>19383521.501490191</v>
      </c>
      <c r="C34" s="6" t="s">
        <v>34</v>
      </c>
      <c r="D34" s="6"/>
      <c r="E34" s="6"/>
    </row>
    <row r="35" spans="1:30" x14ac:dyDescent="0.25">
      <c r="A35" s="5" t="s">
        <v>51</v>
      </c>
      <c r="B35" s="19">
        <f>B25/(1+B9)^B12*(1-B10)</f>
        <v>0</v>
      </c>
      <c r="C35" s="6" t="s">
        <v>34</v>
      </c>
      <c r="D35" s="6"/>
      <c r="E35" s="6"/>
    </row>
    <row r="36" spans="1:30" x14ac:dyDescent="0.25">
      <c r="A36" s="5" t="s">
        <v>52</v>
      </c>
      <c r="B36" s="19">
        <f>B24-B26+B34</f>
        <v>19383521.501490191</v>
      </c>
      <c r="C36" s="6" t="s">
        <v>34</v>
      </c>
      <c r="D36" s="6"/>
      <c r="E36" s="6"/>
      <c r="F36" s="4" t="s">
        <v>1</v>
      </c>
    </row>
    <row r="37" spans="1:30" x14ac:dyDescent="0.25">
      <c r="A37" s="10" t="s">
        <v>108</v>
      </c>
      <c r="B37" s="22">
        <f>B30*$B$36/($B$23)</f>
        <v>5.4642747896054646E-2</v>
      </c>
      <c r="C37" s="12" t="s">
        <v>35</v>
      </c>
      <c r="D37" s="11">
        <f>B37/0.0036</f>
        <v>15.178541082237402</v>
      </c>
      <c r="E37" s="13" t="s">
        <v>21</v>
      </c>
    </row>
    <row r="38" spans="1:30" x14ac:dyDescent="0.25">
      <c r="A38" s="10" t="s">
        <v>109</v>
      </c>
      <c r="B38" s="22">
        <f>B37/(1-B10)</f>
        <v>5.4642747896054646E-2</v>
      </c>
      <c r="C38" s="12" t="s">
        <v>35</v>
      </c>
      <c r="D38" s="11">
        <f>B38/0.0036</f>
        <v>15.178541082237402</v>
      </c>
      <c r="E38" s="13" t="s">
        <v>21</v>
      </c>
      <c r="F38" s="4" t="s">
        <v>1</v>
      </c>
    </row>
    <row r="39" spans="1:30" x14ac:dyDescent="0.25">
      <c r="A39" s="14" t="s">
        <v>110</v>
      </c>
      <c r="B39" s="23">
        <f>B32*$B$36/($B$23)</f>
        <v>4.5000000000000047E-2</v>
      </c>
      <c r="C39" s="16" t="s">
        <v>35</v>
      </c>
      <c r="D39" s="15">
        <f>B39/0.0036</f>
        <v>12.500000000000014</v>
      </c>
      <c r="E39" s="17" t="s">
        <v>21</v>
      </c>
    </row>
    <row r="40" spans="1:30" x14ac:dyDescent="0.25">
      <c r="A40" s="10" t="s">
        <v>111</v>
      </c>
      <c r="B40" s="22">
        <f>B39/(1-B10)</f>
        <v>4.5000000000000047E-2</v>
      </c>
      <c r="C40" s="12" t="s">
        <v>35</v>
      </c>
      <c r="D40" s="11">
        <f>B40/0.0036</f>
        <v>12.500000000000014</v>
      </c>
      <c r="E40" s="13" t="s">
        <v>21</v>
      </c>
    </row>
    <row r="41" spans="1:30" x14ac:dyDescent="0.25">
      <c r="A41" s="24" t="s">
        <v>53</v>
      </c>
    </row>
    <row r="42" spans="1:30" ht="14.4" x14ac:dyDescent="0.3">
      <c r="A42" s="25" t="s">
        <v>54</v>
      </c>
      <c r="B42" s="9">
        <v>7.85E-2</v>
      </c>
      <c r="C42" s="26" t="s">
        <v>14</v>
      </c>
      <c r="D42" s="26"/>
      <c r="E42" s="26"/>
    </row>
    <row r="43" spans="1:30" x14ac:dyDescent="0.25">
      <c r="A43" s="25" t="s">
        <v>55</v>
      </c>
      <c r="B43" s="27">
        <f>(B42*(1+B42)^B12)/((1+B42)^B12-1)</f>
        <v>0.10071794368308355</v>
      </c>
      <c r="C43" s="26" t="s">
        <v>14</v>
      </c>
      <c r="D43" s="26"/>
      <c r="E43" s="26"/>
    </row>
    <row r="44" spans="1:30" x14ac:dyDescent="0.25">
      <c r="A44" s="25" t="s">
        <v>56</v>
      </c>
      <c r="B44" s="27">
        <f>B43+B15</f>
        <v>0.10071794368308355</v>
      </c>
      <c r="C44" s="26" t="s">
        <v>14</v>
      </c>
      <c r="D44" s="26"/>
      <c r="E44" s="26"/>
    </row>
    <row r="45" spans="1:30" x14ac:dyDescent="0.25">
      <c r="A45" s="28" t="s">
        <v>57</v>
      </c>
      <c r="B45" s="22">
        <f>(B24-B25/(1+B9)^B12)*B44/(B3*B4*365*24)+B14</f>
        <v>0</v>
      </c>
      <c r="C45" s="29" t="s">
        <v>35</v>
      </c>
      <c r="D45" s="29"/>
      <c r="E45" s="29"/>
    </row>
    <row r="46" spans="1:30" x14ac:dyDescent="0.25">
      <c r="A46" s="30"/>
      <c r="B46" s="22">
        <f>(B24-B25/(1+B42)^B12)*B44/(B3*B4*365*24)+B14</f>
        <v>0</v>
      </c>
      <c r="C46" s="29"/>
      <c r="D46" s="31"/>
      <c r="E46" s="31"/>
    </row>
    <row r="47" spans="1:30" x14ac:dyDescent="0.25">
      <c r="B47" s="22">
        <f>(B24-B25/(1+B9)^B12)*B44/(B3*B4*365*24)+B14</f>
        <v>0</v>
      </c>
      <c r="C47" s="29" t="s">
        <v>35</v>
      </c>
      <c r="U47" s="47"/>
      <c r="Y47" s="41"/>
      <c r="AD47" s="69"/>
    </row>
    <row r="48" spans="1:30" ht="52.8" x14ac:dyDescent="0.25">
      <c r="A48" s="32" t="s">
        <v>58</v>
      </c>
      <c r="B48" s="33" t="s">
        <v>59</v>
      </c>
      <c r="C48" s="33" t="s">
        <v>60</v>
      </c>
      <c r="D48" s="34" t="s">
        <v>61</v>
      </c>
      <c r="E48" s="34" t="s">
        <v>62</v>
      </c>
      <c r="F48" s="33" t="s">
        <v>63</v>
      </c>
      <c r="G48" s="45" t="s">
        <v>64</v>
      </c>
      <c r="H48" s="45" t="s">
        <v>65</v>
      </c>
      <c r="I48" s="33" t="s">
        <v>66</v>
      </c>
      <c r="J48" s="33" t="s">
        <v>67</v>
      </c>
      <c r="K48" s="33" t="s">
        <v>68</v>
      </c>
      <c r="L48" s="45" t="s">
        <v>82</v>
      </c>
      <c r="M48" s="33" t="s">
        <v>69</v>
      </c>
      <c r="N48" s="33" t="s">
        <v>70</v>
      </c>
      <c r="O48" s="33" t="s">
        <v>71</v>
      </c>
      <c r="P48" s="34" t="s">
        <v>72</v>
      </c>
      <c r="Q48" s="45" t="s">
        <v>83</v>
      </c>
      <c r="R48" s="33" t="s">
        <v>73</v>
      </c>
      <c r="S48" s="33" t="s">
        <v>74</v>
      </c>
      <c r="T48" s="46" t="s">
        <v>75</v>
      </c>
      <c r="U48" s="42" t="s">
        <v>78</v>
      </c>
      <c r="V48" s="43" t="s">
        <v>79</v>
      </c>
      <c r="W48" s="42" t="s">
        <v>272</v>
      </c>
    </row>
    <row r="49" spans="1:23" ht="14.4" x14ac:dyDescent="0.3">
      <c r="A49" s="35">
        <v>0</v>
      </c>
      <c r="B49" s="44">
        <f>1/(1+Baseline_DCF!$B$9)^A49</f>
        <v>1</v>
      </c>
      <c r="C49" s="35"/>
      <c r="D49" s="36"/>
      <c r="E49" s="36"/>
      <c r="F49" s="35"/>
      <c r="G49" s="39"/>
      <c r="H49" s="39"/>
      <c r="I49" s="35">
        <v>0</v>
      </c>
      <c r="J49" s="37"/>
      <c r="K49" s="35"/>
      <c r="L49" s="39"/>
      <c r="M49" s="35"/>
      <c r="N49" s="35"/>
      <c r="O49" s="35"/>
      <c r="P49" s="35"/>
      <c r="Q49" s="39"/>
      <c r="R49" s="35"/>
      <c r="S49" s="35"/>
      <c r="T49" s="39"/>
      <c r="U49" s="40">
        <f>-$B$27+IF(AND(E49=1,E50=0),$B$25,0)</f>
        <v>0</v>
      </c>
      <c r="V49" s="38">
        <f>U49*B49</f>
        <v>0</v>
      </c>
      <c r="W49" s="40">
        <f>-U49</f>
        <v>0</v>
      </c>
    </row>
    <row r="50" spans="1:23" ht="14.4" x14ac:dyDescent="0.3">
      <c r="A50" s="35">
        <f>A49+1</f>
        <v>1</v>
      </c>
      <c r="B50" s="44">
        <f>1/(1+Baseline_DCF!$B$9)^A50</f>
        <v>0.90909090909090906</v>
      </c>
      <c r="C50" s="36">
        <f>IF(A50&lt;(Baseline_DCF!$B$7+1),1,0)</f>
        <v>1</v>
      </c>
      <c r="D50" s="36">
        <f>IF(A50&lt;(Baseline_DCF!$B$11+1),1,0)</f>
        <v>1</v>
      </c>
      <c r="E50" s="36">
        <f>IF(A50&lt;(Baseline_DCF!$B$12+1),1,0)</f>
        <v>1</v>
      </c>
      <c r="F50" s="37">
        <f xml:space="preserve"> -Baseline_DCF!$B$33*D50</f>
        <v>0</v>
      </c>
      <c r="G50" s="40">
        <f>-F50*Baseline_DCF!$B$10</f>
        <v>0</v>
      </c>
      <c r="H50" s="40">
        <f>-Baseline_DCF!$B$29*C50</f>
        <v>0</v>
      </c>
      <c r="I50" s="37">
        <f>Baseline_DCF!B26</f>
        <v>0</v>
      </c>
      <c r="J50" s="37">
        <f t="shared" ref="J50:J89" si="0">I50+H50-K50</f>
        <v>0</v>
      </c>
      <c r="K50" s="37">
        <f>-I50*Baseline_DCF!$B$8</f>
        <v>0</v>
      </c>
      <c r="L50" s="40">
        <f>-(K50*Baseline_DCF!$B$10)</f>
        <v>0</v>
      </c>
      <c r="M50" s="37">
        <f>-Baseline_DCF!$B$15*Baseline_DCF!$B$24*E50*(1+Baseline_DCF!$B$16)^A50</f>
        <v>0</v>
      </c>
      <c r="N50" s="37">
        <f>M50*Baseline_DCF!$B$10</f>
        <v>0</v>
      </c>
      <c r="O50" s="37">
        <f>-E50*Baseline_DCF!$D$23*Baseline_DCF!$B$14*(1+Baseline_DCF!$B$16)^A50</f>
        <v>0</v>
      </c>
      <c r="P50" s="37">
        <f>O50*Baseline_DCF!$B$10</f>
        <v>0</v>
      </c>
      <c r="Q50" s="40">
        <f>(M50+O50-N50-P50)</f>
        <v>0</v>
      </c>
      <c r="R50" s="37">
        <f>-E50*Baseline_DCF!$B$22*(1+Baseline_DCF!$B$18)^(Baseline_DCF!A50)</f>
        <v>-1921874.9999999998</v>
      </c>
      <c r="S50" s="37">
        <f>-R50*Baseline_DCF!$B$10</f>
        <v>0</v>
      </c>
      <c r="T50" s="40">
        <f>R50+S50</f>
        <v>-1921874.9999999998</v>
      </c>
      <c r="U50" s="40">
        <f>G50+H50+L50+Q50+T50+IF(AND(E50=1,E51=0),$B$25,0)</f>
        <v>-1921874.9999999998</v>
      </c>
      <c r="V50" s="38">
        <f t="shared" ref="V50:V89" si="1">U50*B50</f>
        <v>-1747159.0909090906</v>
      </c>
      <c r="W50" s="40">
        <f t="shared" ref="W50:W89" si="2">-U50</f>
        <v>1921874.9999999998</v>
      </c>
    </row>
    <row r="51" spans="1:23" ht="14.4" x14ac:dyDescent="0.3">
      <c r="A51" s="35">
        <f t="shared" ref="A51:A89" si="3">A50+1</f>
        <v>2</v>
      </c>
      <c r="B51" s="44">
        <f>1/(1+Baseline_DCF!$B$9)^A51</f>
        <v>0.82644628099173545</v>
      </c>
      <c r="C51" s="36">
        <f>IF(A51&lt;(Baseline_DCF!$B$7+1),1,0)</f>
        <v>1</v>
      </c>
      <c r="D51" s="36">
        <f>IF(A51&lt;(Baseline_DCF!$B$11+1),1,0)</f>
        <v>1</v>
      </c>
      <c r="E51" s="36">
        <f>IF(A51&lt;(Baseline_DCF!$B$12+1),1,0)</f>
        <v>1</v>
      </c>
      <c r="F51" s="37">
        <f xml:space="preserve"> -Baseline_DCF!$B$33*D51</f>
        <v>0</v>
      </c>
      <c r="G51" s="40">
        <f>-F51*Baseline_DCF!$B$10</f>
        <v>0</v>
      </c>
      <c r="H51" s="40">
        <f>-Baseline_DCF!$B$29*C51</f>
        <v>0</v>
      </c>
      <c r="I51" s="37">
        <f>J50</f>
        <v>0</v>
      </c>
      <c r="J51" s="37">
        <f t="shared" si="0"/>
        <v>0</v>
      </c>
      <c r="K51" s="37">
        <f>-I51*Baseline_DCF!$B$8</f>
        <v>0</v>
      </c>
      <c r="L51" s="40">
        <f>-(K51*Baseline_DCF!$B$10)</f>
        <v>0</v>
      </c>
      <c r="M51" s="37">
        <f>-Baseline_DCF!$B$15*Baseline_DCF!$B$24*E51*(1+Baseline_DCF!$B$16)^A51</f>
        <v>0</v>
      </c>
      <c r="N51" s="37">
        <f>M51*Baseline_DCF!$B$10</f>
        <v>0</v>
      </c>
      <c r="O51" s="37">
        <f>-E51*Baseline_DCF!$D$23*Baseline_DCF!$B$14*(1+Baseline_DCF!$B$16)^A51</f>
        <v>0</v>
      </c>
      <c r="P51" s="37">
        <f>O51*Baseline_DCF!$B$10</f>
        <v>0</v>
      </c>
      <c r="Q51" s="40">
        <f t="shared" ref="Q51:Q89" si="4">(M51+O51-N51-P51)</f>
        <v>0</v>
      </c>
      <c r="R51" s="37">
        <f>-E51*Baseline_DCF!$B$22*(1+Baseline_DCF!$B$18)^(Baseline_DCF!A51)</f>
        <v>-1969921.8749999998</v>
      </c>
      <c r="S51" s="37">
        <f>-R51*Baseline_DCF!$B$10</f>
        <v>0</v>
      </c>
      <c r="T51" s="40">
        <f t="shared" ref="T51:T89" si="5">R51+S51</f>
        <v>-1969921.8749999998</v>
      </c>
      <c r="U51" s="40">
        <f t="shared" ref="U51:U89" si="6">G51+H51+L51+Q51+T51+IF(AND(E51=1,E52=0),$B$25,0)</f>
        <v>-1969921.8749999998</v>
      </c>
      <c r="V51" s="38">
        <f t="shared" si="1"/>
        <v>-1628034.6074380162</v>
      </c>
      <c r="W51" s="40">
        <f t="shared" si="2"/>
        <v>1969921.8749999998</v>
      </c>
    </row>
    <row r="52" spans="1:23" ht="14.4" x14ac:dyDescent="0.3">
      <c r="A52" s="35">
        <f t="shared" si="3"/>
        <v>3</v>
      </c>
      <c r="B52" s="44">
        <f>1/(1+Baseline_DCF!$B$9)^A52</f>
        <v>0.75131480090157754</v>
      </c>
      <c r="C52" s="36">
        <f>IF(A52&lt;(Baseline_DCF!$B$7+1),1,0)</f>
        <v>1</v>
      </c>
      <c r="D52" s="36">
        <f>IF(A52&lt;(Baseline_DCF!$B$11+1),1,0)</f>
        <v>1</v>
      </c>
      <c r="E52" s="36">
        <f>IF(A52&lt;(Baseline_DCF!$B$12+1),1,0)</f>
        <v>1</v>
      </c>
      <c r="F52" s="37">
        <f xml:space="preserve"> -Baseline_DCF!$B$33*D52</f>
        <v>0</v>
      </c>
      <c r="G52" s="40">
        <f>-F52*Baseline_DCF!$B$10</f>
        <v>0</v>
      </c>
      <c r="H52" s="40">
        <f>-Baseline_DCF!$B$29*C52</f>
        <v>0</v>
      </c>
      <c r="I52" s="37">
        <f t="shared" ref="I52:I64" si="7">J51</f>
        <v>0</v>
      </c>
      <c r="J52" s="37">
        <f t="shared" si="0"/>
        <v>0</v>
      </c>
      <c r="K52" s="37">
        <f>-I52*Baseline_DCF!$B$8</f>
        <v>0</v>
      </c>
      <c r="L52" s="40">
        <f>-(K52*Baseline_DCF!$B$10)</f>
        <v>0</v>
      </c>
      <c r="M52" s="37">
        <f>-Baseline_DCF!$B$15*Baseline_DCF!$B$24*E52*(1+Baseline_DCF!$B$16)^A52</f>
        <v>0</v>
      </c>
      <c r="N52" s="37">
        <f>M52*Baseline_DCF!$B$10</f>
        <v>0</v>
      </c>
      <c r="O52" s="37">
        <f>-E52*Baseline_DCF!$D$23*Baseline_DCF!$B$14*(1+Baseline_DCF!$B$16)^A52</f>
        <v>0</v>
      </c>
      <c r="P52" s="37">
        <f>O52*Baseline_DCF!$B$10</f>
        <v>0</v>
      </c>
      <c r="Q52" s="40">
        <f t="shared" si="4"/>
        <v>0</v>
      </c>
      <c r="R52" s="37">
        <f>-E52*Baseline_DCF!$B$22*(1+Baseline_DCF!$B$18)^(Baseline_DCF!A52)</f>
        <v>-2019169.9218749998</v>
      </c>
      <c r="S52" s="37">
        <f>-R52*Baseline_DCF!$B$10</f>
        <v>0</v>
      </c>
      <c r="T52" s="40">
        <f t="shared" si="5"/>
        <v>-2019169.9218749998</v>
      </c>
      <c r="U52" s="40">
        <f t="shared" si="6"/>
        <v>-2019169.9218749998</v>
      </c>
      <c r="V52" s="38">
        <f t="shared" si="1"/>
        <v>-1517032.2478399694</v>
      </c>
      <c r="W52" s="40">
        <f t="shared" si="2"/>
        <v>2019169.9218749998</v>
      </c>
    </row>
    <row r="53" spans="1:23" ht="14.4" x14ac:dyDescent="0.3">
      <c r="A53" s="35">
        <f t="shared" si="3"/>
        <v>4</v>
      </c>
      <c r="B53" s="44">
        <f>1/(1+Baseline_DCF!$B$9)^A53</f>
        <v>0.68301345536507052</v>
      </c>
      <c r="C53" s="36">
        <f>IF(A53&lt;(Baseline_DCF!$B$7+1),1,0)</f>
        <v>1</v>
      </c>
      <c r="D53" s="36">
        <f>IF(A53&lt;(Baseline_DCF!$B$11+1),1,0)</f>
        <v>1</v>
      </c>
      <c r="E53" s="36">
        <f>IF(A53&lt;(Baseline_DCF!$B$12+1),1,0)</f>
        <v>1</v>
      </c>
      <c r="F53" s="37">
        <f xml:space="preserve"> -Baseline_DCF!$B$33*D53</f>
        <v>0</v>
      </c>
      <c r="G53" s="40">
        <f>-F53*Baseline_DCF!$B$10</f>
        <v>0</v>
      </c>
      <c r="H53" s="40">
        <f>-Baseline_DCF!$B$29*C53</f>
        <v>0</v>
      </c>
      <c r="I53" s="37">
        <f t="shared" si="7"/>
        <v>0</v>
      </c>
      <c r="J53" s="37">
        <f t="shared" si="0"/>
        <v>0</v>
      </c>
      <c r="K53" s="37">
        <f>-I53*Baseline_DCF!$B$8</f>
        <v>0</v>
      </c>
      <c r="L53" s="40">
        <f>-(K53*Baseline_DCF!$B$10)</f>
        <v>0</v>
      </c>
      <c r="M53" s="37">
        <f>-Baseline_DCF!$B$15*Baseline_DCF!$B$24*E53*(1+Baseline_DCF!$B$16)^A53</f>
        <v>0</v>
      </c>
      <c r="N53" s="37">
        <f>M53*Baseline_DCF!$B$10</f>
        <v>0</v>
      </c>
      <c r="O53" s="37">
        <f>-E53*Baseline_DCF!$D$23*Baseline_DCF!$B$14*(1+Baseline_DCF!$B$16)^A53</f>
        <v>0</v>
      </c>
      <c r="P53" s="37">
        <f>O53*Baseline_DCF!$B$10</f>
        <v>0</v>
      </c>
      <c r="Q53" s="40">
        <f t="shared" si="4"/>
        <v>0</v>
      </c>
      <c r="R53" s="37">
        <f>-E53*Baseline_DCF!$B$22*(1+Baseline_DCF!$B$18)^(Baseline_DCF!A53)</f>
        <v>-2069649.1699218745</v>
      </c>
      <c r="S53" s="37">
        <f>-R53*Baseline_DCF!$B$10</f>
        <v>0</v>
      </c>
      <c r="T53" s="40">
        <f t="shared" si="5"/>
        <v>-2069649.1699218745</v>
      </c>
      <c r="U53" s="40">
        <f t="shared" si="6"/>
        <v>-2069649.1699218745</v>
      </c>
      <c r="V53" s="38">
        <f t="shared" si="1"/>
        <v>-1413598.2309417895</v>
      </c>
      <c r="W53" s="40">
        <f t="shared" si="2"/>
        <v>2069649.1699218745</v>
      </c>
    </row>
    <row r="54" spans="1:23" ht="14.4" x14ac:dyDescent="0.3">
      <c r="A54" s="35">
        <f t="shared" si="3"/>
        <v>5</v>
      </c>
      <c r="B54" s="44">
        <f>1/(1+Baseline_DCF!$B$9)^A54</f>
        <v>0.62092132305915493</v>
      </c>
      <c r="C54" s="36">
        <f>IF(A54&lt;(Baseline_DCF!$B$7+1),1,0)</f>
        <v>1</v>
      </c>
      <c r="D54" s="36">
        <f>IF(A54&lt;(Baseline_DCF!$B$11+1),1,0)</f>
        <v>1</v>
      </c>
      <c r="E54" s="36">
        <f>IF(A54&lt;(Baseline_DCF!$B$12+1),1,0)</f>
        <v>1</v>
      </c>
      <c r="F54" s="37">
        <f xml:space="preserve"> -Baseline_DCF!$B$33*D54</f>
        <v>0</v>
      </c>
      <c r="G54" s="40">
        <f>-F54*Baseline_DCF!$B$10</f>
        <v>0</v>
      </c>
      <c r="H54" s="40">
        <f>-Baseline_DCF!$B$29*C54</f>
        <v>0</v>
      </c>
      <c r="I54" s="37">
        <f t="shared" si="7"/>
        <v>0</v>
      </c>
      <c r="J54" s="37">
        <f t="shared" si="0"/>
        <v>0</v>
      </c>
      <c r="K54" s="37">
        <f>-I54*Baseline_DCF!$B$8</f>
        <v>0</v>
      </c>
      <c r="L54" s="40">
        <f>-(K54*Baseline_DCF!$B$10)</f>
        <v>0</v>
      </c>
      <c r="M54" s="37">
        <f>-Baseline_DCF!$B$15*Baseline_DCF!$B$24*E54*(1+Baseline_DCF!$B$16)^A54</f>
        <v>0</v>
      </c>
      <c r="N54" s="37">
        <f>M54*Baseline_DCF!$B$10</f>
        <v>0</v>
      </c>
      <c r="O54" s="37">
        <f>-E54*Baseline_DCF!$D$23*Baseline_DCF!$B$14*(1+Baseline_DCF!$B$16)^A54</f>
        <v>0</v>
      </c>
      <c r="P54" s="37">
        <f>O54*Baseline_DCF!$B$10</f>
        <v>0</v>
      </c>
      <c r="Q54" s="40">
        <f t="shared" si="4"/>
        <v>0</v>
      </c>
      <c r="R54" s="37">
        <f>-E54*Baseline_DCF!$B$22*(1+Baseline_DCF!$B$18)^(Baseline_DCF!A54)</f>
        <v>-2121390.3991699214</v>
      </c>
      <c r="S54" s="37">
        <f>-R54*Baseline_DCF!$B$10</f>
        <v>0</v>
      </c>
      <c r="T54" s="40">
        <f t="shared" si="5"/>
        <v>-2121390.3991699214</v>
      </c>
      <c r="U54" s="40">
        <f t="shared" si="6"/>
        <v>-2121390.3991699214</v>
      </c>
      <c r="V54" s="38">
        <f t="shared" si="1"/>
        <v>-1317216.5333775764</v>
      </c>
      <c r="W54" s="40">
        <f t="shared" si="2"/>
        <v>2121390.3991699214</v>
      </c>
    </row>
    <row r="55" spans="1:23" ht="14.4" x14ac:dyDescent="0.3">
      <c r="A55" s="35">
        <f t="shared" si="3"/>
        <v>6</v>
      </c>
      <c r="B55" s="44">
        <f>1/(1+Baseline_DCF!$B$9)^A55</f>
        <v>0.56447393005377722</v>
      </c>
      <c r="C55" s="36">
        <f>IF(A55&lt;(Baseline_DCF!$B$7+1),1,0)</f>
        <v>1</v>
      </c>
      <c r="D55" s="36">
        <f>IF(A55&lt;(Baseline_DCF!$B$11+1),1,0)</f>
        <v>1</v>
      </c>
      <c r="E55" s="36">
        <f>IF(A55&lt;(Baseline_DCF!$B$12+1),1,0)</f>
        <v>1</v>
      </c>
      <c r="F55" s="37">
        <f xml:space="preserve"> -Baseline_DCF!$B$33*D55</f>
        <v>0</v>
      </c>
      <c r="G55" s="40">
        <f>-F55*Baseline_DCF!$B$10</f>
        <v>0</v>
      </c>
      <c r="H55" s="40">
        <f>-Baseline_DCF!$B$29*C55</f>
        <v>0</v>
      </c>
      <c r="I55" s="37">
        <f t="shared" si="7"/>
        <v>0</v>
      </c>
      <c r="J55" s="37">
        <f t="shared" si="0"/>
        <v>0</v>
      </c>
      <c r="K55" s="37">
        <f>-I55*Baseline_DCF!$B$8</f>
        <v>0</v>
      </c>
      <c r="L55" s="40">
        <f>-(K55*Baseline_DCF!$B$10)</f>
        <v>0</v>
      </c>
      <c r="M55" s="37">
        <f>-Baseline_DCF!$B$15*Baseline_DCF!$B$24*E55*(1+Baseline_DCF!$B$16)^A55</f>
        <v>0</v>
      </c>
      <c r="N55" s="37">
        <f>M55*Baseline_DCF!$B$10</f>
        <v>0</v>
      </c>
      <c r="O55" s="37">
        <f>-E55*Baseline_DCF!$D$23*Baseline_DCF!$B$14*(1+Baseline_DCF!$B$16)^A55</f>
        <v>0</v>
      </c>
      <c r="P55" s="37">
        <f>O55*Baseline_DCF!$B$10</f>
        <v>0</v>
      </c>
      <c r="Q55" s="40">
        <f t="shared" si="4"/>
        <v>0</v>
      </c>
      <c r="R55" s="37">
        <f>-E55*Baseline_DCF!$B$22*(1+Baseline_DCF!$B$18)^(Baseline_DCF!A55)</f>
        <v>-2174425.159149169</v>
      </c>
      <c r="S55" s="37">
        <f>-R55*Baseline_DCF!$B$10</f>
        <v>0</v>
      </c>
      <c r="T55" s="40">
        <f t="shared" si="5"/>
        <v>-2174425.159149169</v>
      </c>
      <c r="U55" s="40">
        <f t="shared" si="6"/>
        <v>-2174425.159149169</v>
      </c>
      <c r="V55" s="38">
        <f t="shared" si="1"/>
        <v>-1227406.3151927413</v>
      </c>
      <c r="W55" s="40">
        <f t="shared" si="2"/>
        <v>2174425.159149169</v>
      </c>
    </row>
    <row r="56" spans="1:23" ht="14.4" x14ac:dyDescent="0.3">
      <c r="A56" s="35">
        <f t="shared" si="3"/>
        <v>7</v>
      </c>
      <c r="B56" s="44">
        <f>1/(1+Baseline_DCF!$B$9)^A56</f>
        <v>0.51315811823070645</v>
      </c>
      <c r="C56" s="36">
        <f>IF(A56&lt;(Baseline_DCF!$B$7+1),1,0)</f>
        <v>1</v>
      </c>
      <c r="D56" s="36">
        <f>IF(A56&lt;(Baseline_DCF!$B$11+1),1,0)</f>
        <v>1</v>
      </c>
      <c r="E56" s="36">
        <f>IF(A56&lt;(Baseline_DCF!$B$12+1),1,0)</f>
        <v>1</v>
      </c>
      <c r="F56" s="37">
        <f xml:space="preserve"> -Baseline_DCF!$B$33*D56</f>
        <v>0</v>
      </c>
      <c r="G56" s="40">
        <f>-F56*Baseline_DCF!$B$10</f>
        <v>0</v>
      </c>
      <c r="H56" s="40">
        <f>-Baseline_DCF!$B$29*C56</f>
        <v>0</v>
      </c>
      <c r="I56" s="37">
        <f t="shared" si="7"/>
        <v>0</v>
      </c>
      <c r="J56" s="37">
        <f t="shared" si="0"/>
        <v>0</v>
      </c>
      <c r="K56" s="37">
        <f>-I56*Baseline_DCF!$B$8</f>
        <v>0</v>
      </c>
      <c r="L56" s="40">
        <f>-(K56*Baseline_DCF!$B$10)</f>
        <v>0</v>
      </c>
      <c r="M56" s="37">
        <f>-Baseline_DCF!$B$15*Baseline_DCF!$B$24*E56*(1+Baseline_DCF!$B$16)^A56</f>
        <v>0</v>
      </c>
      <c r="N56" s="37">
        <f>M56*Baseline_DCF!$B$10</f>
        <v>0</v>
      </c>
      <c r="O56" s="37">
        <f>-E56*Baseline_DCF!$D$23*Baseline_DCF!$B$14*(1+Baseline_DCF!$B$16)^A56</f>
        <v>0</v>
      </c>
      <c r="P56" s="37">
        <f>O56*Baseline_DCF!$B$10</f>
        <v>0</v>
      </c>
      <c r="Q56" s="40">
        <f t="shared" si="4"/>
        <v>0</v>
      </c>
      <c r="R56" s="37">
        <f>-E56*Baseline_DCF!$B$22*(1+Baseline_DCF!$B$18)^(Baseline_DCF!A56)</f>
        <v>-2228785.7881278982</v>
      </c>
      <c r="S56" s="37">
        <f>-R56*Baseline_DCF!$B$10</f>
        <v>0</v>
      </c>
      <c r="T56" s="40">
        <f t="shared" si="5"/>
        <v>-2228785.7881278982</v>
      </c>
      <c r="U56" s="40">
        <f t="shared" si="6"/>
        <v>-2228785.7881278982</v>
      </c>
      <c r="V56" s="38">
        <f t="shared" si="1"/>
        <v>-1143719.5209750542</v>
      </c>
      <c r="W56" s="40">
        <f t="shared" si="2"/>
        <v>2228785.7881278982</v>
      </c>
    </row>
    <row r="57" spans="1:23" ht="14.4" x14ac:dyDescent="0.3">
      <c r="A57" s="35">
        <f t="shared" si="3"/>
        <v>8</v>
      </c>
      <c r="B57" s="44">
        <f>1/(1+Baseline_DCF!$B$9)^A57</f>
        <v>0.46650738020973315</v>
      </c>
      <c r="C57" s="36">
        <f>IF(A57&lt;(Baseline_DCF!$B$7+1),1,0)</f>
        <v>1</v>
      </c>
      <c r="D57" s="36">
        <f>IF(A57&lt;(Baseline_DCF!$B$11+1),1,0)</f>
        <v>1</v>
      </c>
      <c r="E57" s="36">
        <f>IF(A57&lt;(Baseline_DCF!$B$12+1),1,0)</f>
        <v>1</v>
      </c>
      <c r="F57" s="37">
        <f xml:space="preserve"> -Baseline_DCF!$B$33*D57</f>
        <v>0</v>
      </c>
      <c r="G57" s="40">
        <f>-F57*Baseline_DCF!$B$10</f>
        <v>0</v>
      </c>
      <c r="H57" s="40">
        <f>-Baseline_DCF!$B$29*C57</f>
        <v>0</v>
      </c>
      <c r="I57" s="37">
        <f t="shared" si="7"/>
        <v>0</v>
      </c>
      <c r="J57" s="37">
        <f t="shared" si="0"/>
        <v>0</v>
      </c>
      <c r="K57" s="37">
        <f>-I57*Baseline_DCF!$B$8</f>
        <v>0</v>
      </c>
      <c r="L57" s="40">
        <f>-(K57*Baseline_DCF!$B$10)</f>
        <v>0</v>
      </c>
      <c r="M57" s="37">
        <f>-Baseline_DCF!$B$15*Baseline_DCF!$B$24*E57*(1+Baseline_DCF!$B$16)^A57</f>
        <v>0</v>
      </c>
      <c r="N57" s="37">
        <f>M57*Baseline_DCF!$B$10</f>
        <v>0</v>
      </c>
      <c r="O57" s="37">
        <f>-E57*Baseline_DCF!$D$23*Baseline_DCF!$B$14*(1+Baseline_DCF!$B$16)^A57</f>
        <v>0</v>
      </c>
      <c r="P57" s="37">
        <f>O57*Baseline_DCF!$B$10</f>
        <v>0</v>
      </c>
      <c r="Q57" s="40">
        <f t="shared" si="4"/>
        <v>0</v>
      </c>
      <c r="R57" s="37">
        <f>-E57*Baseline_DCF!$B$22*(1+Baseline_DCF!$B$18)^(Baseline_DCF!A57)</f>
        <v>-2284505.4328310955</v>
      </c>
      <c r="S57" s="37">
        <f>-R57*Baseline_DCF!$B$10</f>
        <v>0</v>
      </c>
      <c r="T57" s="40">
        <f t="shared" si="5"/>
        <v>-2284505.4328310955</v>
      </c>
      <c r="U57" s="40">
        <f t="shared" si="6"/>
        <v>-2284505.4328310955</v>
      </c>
      <c r="V57" s="38">
        <f t="shared" si="1"/>
        <v>-1065738.6445449369</v>
      </c>
      <c r="W57" s="40">
        <f t="shared" si="2"/>
        <v>2284505.4328310955</v>
      </c>
    </row>
    <row r="58" spans="1:23" ht="14.4" x14ac:dyDescent="0.3">
      <c r="A58" s="35">
        <f t="shared" si="3"/>
        <v>9</v>
      </c>
      <c r="B58" s="44">
        <f>1/(1+Baseline_DCF!$B$9)^A58</f>
        <v>0.42409761837248466</v>
      </c>
      <c r="C58" s="36">
        <f>IF(A58&lt;(Baseline_DCF!$B$7+1),1,0)</f>
        <v>1</v>
      </c>
      <c r="D58" s="36">
        <f>IF(A58&lt;(Baseline_DCF!$B$11+1),1,0)</f>
        <v>1</v>
      </c>
      <c r="E58" s="36">
        <f>IF(A58&lt;(Baseline_DCF!$B$12+1),1,0)</f>
        <v>1</v>
      </c>
      <c r="F58" s="37">
        <f xml:space="preserve"> -Baseline_DCF!$B$33*D58</f>
        <v>0</v>
      </c>
      <c r="G58" s="40">
        <f>-F58*Baseline_DCF!$B$10</f>
        <v>0</v>
      </c>
      <c r="H58" s="40">
        <f>-Baseline_DCF!$B$29*C58</f>
        <v>0</v>
      </c>
      <c r="I58" s="37">
        <f t="shared" si="7"/>
        <v>0</v>
      </c>
      <c r="J58" s="37">
        <f t="shared" si="0"/>
        <v>0</v>
      </c>
      <c r="K58" s="37">
        <f>-I58*Baseline_DCF!$B$8</f>
        <v>0</v>
      </c>
      <c r="L58" s="40">
        <f>-(K58*Baseline_DCF!$B$10)</f>
        <v>0</v>
      </c>
      <c r="M58" s="37">
        <f>-Baseline_DCF!$B$15*Baseline_DCF!$B$24*E58*(1+Baseline_DCF!$B$16)^A58</f>
        <v>0</v>
      </c>
      <c r="N58" s="37">
        <f>M58*Baseline_DCF!$B$10</f>
        <v>0</v>
      </c>
      <c r="O58" s="37">
        <f>-E58*Baseline_DCF!$D$23*Baseline_DCF!$B$14*(1+Baseline_DCF!$B$16)^A58</f>
        <v>0</v>
      </c>
      <c r="P58" s="37">
        <f>O58*Baseline_DCF!$B$10</f>
        <v>0</v>
      </c>
      <c r="Q58" s="40">
        <f t="shared" si="4"/>
        <v>0</v>
      </c>
      <c r="R58" s="37">
        <f>-E58*Baseline_DCF!$B$22*(1+Baseline_DCF!$B$18)^(Baseline_DCF!A58)</f>
        <v>-2341618.0686518727</v>
      </c>
      <c r="S58" s="37">
        <f>-R58*Baseline_DCF!$B$10</f>
        <v>0</v>
      </c>
      <c r="T58" s="40">
        <f t="shared" si="5"/>
        <v>-2341618.0686518727</v>
      </c>
      <c r="U58" s="40">
        <f t="shared" si="6"/>
        <v>-2341618.0686518727</v>
      </c>
      <c r="V58" s="38">
        <f t="shared" si="1"/>
        <v>-993074.64605323644</v>
      </c>
      <c r="W58" s="40">
        <f t="shared" si="2"/>
        <v>2341618.0686518727</v>
      </c>
    </row>
    <row r="59" spans="1:23" ht="14.4" x14ac:dyDescent="0.3">
      <c r="A59" s="35">
        <f t="shared" si="3"/>
        <v>10</v>
      </c>
      <c r="B59" s="44">
        <f>1/(1+Baseline_DCF!$B$9)^A59</f>
        <v>0.38554328942953148</v>
      </c>
      <c r="C59" s="36">
        <f>IF(A59&lt;(Baseline_DCF!$B$7+1),1,0)</f>
        <v>1</v>
      </c>
      <c r="D59" s="36">
        <f>IF(A59&lt;(Baseline_DCF!$B$11+1),1,0)</f>
        <v>1</v>
      </c>
      <c r="E59" s="36">
        <f>IF(A59&lt;(Baseline_DCF!$B$12+1),1,0)</f>
        <v>1</v>
      </c>
      <c r="F59" s="37">
        <f xml:space="preserve"> -Baseline_DCF!$B$33*D59</f>
        <v>0</v>
      </c>
      <c r="G59" s="40">
        <f>-F59*Baseline_DCF!$B$10</f>
        <v>0</v>
      </c>
      <c r="H59" s="40">
        <f>-Baseline_DCF!$B$29*C59</f>
        <v>0</v>
      </c>
      <c r="I59" s="37">
        <f t="shared" si="7"/>
        <v>0</v>
      </c>
      <c r="J59" s="37">
        <f t="shared" si="0"/>
        <v>0</v>
      </c>
      <c r="K59" s="37">
        <f>-I59*Baseline_DCF!$B$8</f>
        <v>0</v>
      </c>
      <c r="L59" s="40">
        <f>-(K59*Baseline_DCF!$B$10)</f>
        <v>0</v>
      </c>
      <c r="M59" s="37">
        <f>-Baseline_DCF!$B$15*Baseline_DCF!$B$24*E59*(1+Baseline_DCF!$B$16)^A59</f>
        <v>0</v>
      </c>
      <c r="N59" s="37">
        <f>M59*Baseline_DCF!$B$10</f>
        <v>0</v>
      </c>
      <c r="O59" s="37">
        <f>-E59*Baseline_DCF!$D$23*Baseline_DCF!$B$14*(1+Baseline_DCF!$B$16)^A59</f>
        <v>0</v>
      </c>
      <c r="P59" s="37">
        <f>O59*Baseline_DCF!$B$10</f>
        <v>0</v>
      </c>
      <c r="Q59" s="40">
        <f t="shared" si="4"/>
        <v>0</v>
      </c>
      <c r="R59" s="37">
        <f>-E59*Baseline_DCF!$B$22*(1+Baseline_DCF!$B$18)^(Baseline_DCF!A59)</f>
        <v>-2400158.5203681695</v>
      </c>
      <c r="S59" s="37">
        <f>-R59*Baseline_DCF!$B$10</f>
        <v>0</v>
      </c>
      <c r="T59" s="40">
        <f t="shared" si="5"/>
        <v>-2400158.5203681695</v>
      </c>
      <c r="U59" s="40">
        <f t="shared" si="6"/>
        <v>-2400158.5203681695</v>
      </c>
      <c r="V59" s="38">
        <f t="shared" si="1"/>
        <v>-925365.0110950612</v>
      </c>
      <c r="W59" s="40">
        <f t="shared" si="2"/>
        <v>2400158.5203681695</v>
      </c>
    </row>
    <row r="60" spans="1:23" ht="14.4" x14ac:dyDescent="0.3">
      <c r="A60" s="35">
        <f t="shared" si="3"/>
        <v>11</v>
      </c>
      <c r="B60" s="44">
        <f>1/(1+Baseline_DCF!$B$9)^A60</f>
        <v>0.3504938994813922</v>
      </c>
      <c r="C60" s="36">
        <f>IF(A60&lt;(Baseline_DCF!$B$7+1),1,0)</f>
        <v>0</v>
      </c>
      <c r="D60" s="36">
        <f>IF(A60&lt;(Baseline_DCF!$B$11+1),1,0)</f>
        <v>1</v>
      </c>
      <c r="E60" s="36">
        <f>IF(A60&lt;(Baseline_DCF!$B$12+1),1,0)</f>
        <v>1</v>
      </c>
      <c r="F60" s="37">
        <f xml:space="preserve"> -Baseline_DCF!$B$33*D60</f>
        <v>0</v>
      </c>
      <c r="G60" s="40">
        <f>-F60*Baseline_DCF!$B$10</f>
        <v>0</v>
      </c>
      <c r="H60" s="40">
        <f>-Baseline_DCF!$B$29*C60</f>
        <v>0</v>
      </c>
      <c r="I60" s="37">
        <f t="shared" si="7"/>
        <v>0</v>
      </c>
      <c r="J60" s="37">
        <f t="shared" si="0"/>
        <v>0</v>
      </c>
      <c r="K60" s="37">
        <f>-I60*Baseline_DCF!$B$8</f>
        <v>0</v>
      </c>
      <c r="L60" s="40">
        <f>-(K60*Baseline_DCF!$B$10)</f>
        <v>0</v>
      </c>
      <c r="M60" s="37">
        <f>-Baseline_DCF!$B$15*Baseline_DCF!$B$24*E60*(1+Baseline_DCF!$B$16)^A60</f>
        <v>0</v>
      </c>
      <c r="N60" s="37">
        <f>M60*Baseline_DCF!$B$10</f>
        <v>0</v>
      </c>
      <c r="O60" s="37">
        <f>-E60*Baseline_DCF!$D$23*Baseline_DCF!$B$14*(1+Baseline_DCF!$B$16)^A60</f>
        <v>0</v>
      </c>
      <c r="P60" s="37">
        <f>O60*Baseline_DCF!$B$10</f>
        <v>0</v>
      </c>
      <c r="Q60" s="40">
        <f t="shared" si="4"/>
        <v>0</v>
      </c>
      <c r="R60" s="37">
        <f>-E60*Baseline_DCF!$B$22*(1+Baseline_DCF!$B$18)^(Baseline_DCF!A60)</f>
        <v>-2460162.4833773738</v>
      </c>
      <c r="S60" s="37">
        <f>-R60*Baseline_DCF!$B$10</f>
        <v>0</v>
      </c>
      <c r="T60" s="40">
        <f t="shared" si="5"/>
        <v>-2460162.4833773738</v>
      </c>
      <c r="U60" s="40">
        <f t="shared" si="6"/>
        <v>-2460162.4833773738</v>
      </c>
      <c r="V60" s="38">
        <f t="shared" si="1"/>
        <v>-862271.94215676142</v>
      </c>
      <c r="W60" s="40">
        <f t="shared" si="2"/>
        <v>2460162.4833773738</v>
      </c>
    </row>
    <row r="61" spans="1:23" ht="14.4" x14ac:dyDescent="0.3">
      <c r="A61" s="35">
        <f t="shared" si="3"/>
        <v>12</v>
      </c>
      <c r="B61" s="44">
        <f>1/(1+Baseline_DCF!$B$9)^A61</f>
        <v>0.31863081771035656</v>
      </c>
      <c r="C61" s="36">
        <f>IF(A61&lt;(Baseline_DCF!$B$7+1),1,0)</f>
        <v>0</v>
      </c>
      <c r="D61" s="36">
        <f>IF(A61&lt;(Baseline_DCF!$B$11+1),1,0)</f>
        <v>1</v>
      </c>
      <c r="E61" s="36">
        <f>IF(A61&lt;(Baseline_DCF!$B$12+1),1,0)</f>
        <v>1</v>
      </c>
      <c r="F61" s="37">
        <f xml:space="preserve"> -Baseline_DCF!$B$33*D61</f>
        <v>0</v>
      </c>
      <c r="G61" s="40">
        <f>-F61*Baseline_DCF!$B$10</f>
        <v>0</v>
      </c>
      <c r="H61" s="40">
        <f>-Baseline_DCF!$B$29*C61</f>
        <v>0</v>
      </c>
      <c r="I61" s="37">
        <f t="shared" si="7"/>
        <v>0</v>
      </c>
      <c r="J61" s="37">
        <f t="shared" si="0"/>
        <v>0</v>
      </c>
      <c r="K61" s="37">
        <f>-I61*Baseline_DCF!$B$8</f>
        <v>0</v>
      </c>
      <c r="L61" s="40">
        <f>-(K61*Baseline_DCF!$B$10)</f>
        <v>0</v>
      </c>
      <c r="M61" s="37">
        <f>-Baseline_DCF!$B$15*Baseline_DCF!$B$24*E61*(1+Baseline_DCF!$B$16)^A61</f>
        <v>0</v>
      </c>
      <c r="N61" s="37">
        <f>M61*Baseline_DCF!$B$10</f>
        <v>0</v>
      </c>
      <c r="O61" s="37">
        <f>-E61*Baseline_DCF!$D$23*Baseline_DCF!$B$14*(1+Baseline_DCF!$B$16)^A61</f>
        <v>0</v>
      </c>
      <c r="P61" s="37">
        <f>O61*Baseline_DCF!$B$10</f>
        <v>0</v>
      </c>
      <c r="Q61" s="40">
        <f t="shared" si="4"/>
        <v>0</v>
      </c>
      <c r="R61" s="37">
        <f>-E61*Baseline_DCF!$B$22*(1+Baseline_DCF!$B$18)^(Baseline_DCF!A61)</f>
        <v>-2521666.5454618079</v>
      </c>
      <c r="S61" s="37">
        <f>-R61*Baseline_DCF!$B$10</f>
        <v>0</v>
      </c>
      <c r="T61" s="40">
        <f t="shared" si="5"/>
        <v>-2521666.5454618079</v>
      </c>
      <c r="U61" s="40">
        <f t="shared" si="6"/>
        <v>-2521666.5454618079</v>
      </c>
      <c r="V61" s="38">
        <f t="shared" si="1"/>
        <v>-803480.67337334587</v>
      </c>
      <c r="W61" s="40">
        <f t="shared" si="2"/>
        <v>2521666.5454618079</v>
      </c>
    </row>
    <row r="62" spans="1:23" ht="14.4" x14ac:dyDescent="0.3">
      <c r="A62" s="35">
        <f t="shared" si="3"/>
        <v>13</v>
      </c>
      <c r="B62" s="44">
        <f>1/(1+Baseline_DCF!$B$9)^A62</f>
        <v>0.28966437973668779</v>
      </c>
      <c r="C62" s="36">
        <f>IF(A62&lt;(Baseline_DCF!$B$7+1),1,0)</f>
        <v>0</v>
      </c>
      <c r="D62" s="36">
        <f>IF(A62&lt;(Baseline_DCF!$B$11+1),1,0)</f>
        <v>1</v>
      </c>
      <c r="E62" s="36">
        <f>IF(A62&lt;(Baseline_DCF!$B$12+1),1,0)</f>
        <v>1</v>
      </c>
      <c r="F62" s="37">
        <f xml:space="preserve"> -Baseline_DCF!$B$33*D62</f>
        <v>0</v>
      </c>
      <c r="G62" s="40">
        <f>-F62*Baseline_DCF!$B$10</f>
        <v>0</v>
      </c>
      <c r="H62" s="40">
        <f>-Baseline_DCF!$B$29*C62</f>
        <v>0</v>
      </c>
      <c r="I62" s="37">
        <f t="shared" si="7"/>
        <v>0</v>
      </c>
      <c r="J62" s="37">
        <f t="shared" si="0"/>
        <v>0</v>
      </c>
      <c r="K62" s="37">
        <f>-I62*Baseline_DCF!$B$8</f>
        <v>0</v>
      </c>
      <c r="L62" s="40">
        <f>-(K62*Baseline_DCF!$B$10)</f>
        <v>0</v>
      </c>
      <c r="M62" s="37">
        <f>-Baseline_DCF!$B$15*Baseline_DCF!$B$24*E62*(1+Baseline_DCF!$B$16)^A62</f>
        <v>0</v>
      </c>
      <c r="N62" s="37">
        <f>M62*Baseline_DCF!$B$10</f>
        <v>0</v>
      </c>
      <c r="O62" s="37">
        <f>-E62*Baseline_DCF!$D$23*Baseline_DCF!$B$14*(1+Baseline_DCF!$B$16)^A62</f>
        <v>0</v>
      </c>
      <c r="P62" s="37">
        <f>O62*Baseline_DCF!$B$10</f>
        <v>0</v>
      </c>
      <c r="Q62" s="40">
        <f t="shared" si="4"/>
        <v>0</v>
      </c>
      <c r="R62" s="37">
        <f>-E62*Baseline_DCF!$B$22*(1+Baseline_DCF!$B$18)^(Baseline_DCF!A62)</f>
        <v>-2584708.2090983531</v>
      </c>
      <c r="S62" s="37">
        <f>-R62*Baseline_DCF!$B$10</f>
        <v>0</v>
      </c>
      <c r="T62" s="40">
        <f t="shared" si="5"/>
        <v>-2584708.2090983531</v>
      </c>
      <c r="U62" s="40">
        <f t="shared" si="6"/>
        <v>-2584708.2090983531</v>
      </c>
      <c r="V62" s="38">
        <f t="shared" si="1"/>
        <v>-748697.9001887996</v>
      </c>
      <c r="W62" s="40">
        <f t="shared" si="2"/>
        <v>2584708.2090983531</v>
      </c>
    </row>
    <row r="63" spans="1:23" ht="14.4" x14ac:dyDescent="0.3">
      <c r="A63" s="35">
        <f t="shared" si="3"/>
        <v>14</v>
      </c>
      <c r="B63" s="44">
        <f>1/(1+Baseline_DCF!$B$9)^A63</f>
        <v>0.26333125430607973</v>
      </c>
      <c r="C63" s="36">
        <f>IF(A63&lt;(Baseline_DCF!$B$7+1),1,0)</f>
        <v>0</v>
      </c>
      <c r="D63" s="36">
        <f>IF(A63&lt;(Baseline_DCF!$B$11+1),1,0)</f>
        <v>1</v>
      </c>
      <c r="E63" s="36">
        <f>IF(A63&lt;(Baseline_DCF!$B$12+1),1,0)</f>
        <v>1</v>
      </c>
      <c r="F63" s="37">
        <f xml:space="preserve"> -Baseline_DCF!$B$33*D63</f>
        <v>0</v>
      </c>
      <c r="G63" s="40">
        <f>-F63*Baseline_DCF!$B$10</f>
        <v>0</v>
      </c>
      <c r="H63" s="40">
        <f>-Baseline_DCF!$B$29*C63</f>
        <v>0</v>
      </c>
      <c r="I63" s="37">
        <f t="shared" si="7"/>
        <v>0</v>
      </c>
      <c r="J63" s="37">
        <f t="shared" si="0"/>
        <v>0</v>
      </c>
      <c r="K63" s="37">
        <f>-I63*Baseline_DCF!$B$8</f>
        <v>0</v>
      </c>
      <c r="L63" s="40">
        <f>-(K63*Baseline_DCF!$B$10)</f>
        <v>0</v>
      </c>
      <c r="M63" s="37">
        <f>-Baseline_DCF!$B$15*Baseline_DCF!$B$24*E63*(1+Baseline_DCF!$B$16)^A63</f>
        <v>0</v>
      </c>
      <c r="N63" s="37">
        <f>M63*Baseline_DCF!$B$10</f>
        <v>0</v>
      </c>
      <c r="O63" s="37">
        <f>-E63*Baseline_DCF!$D$23*Baseline_DCF!$B$14*(1+Baseline_DCF!$B$16)^A63</f>
        <v>0</v>
      </c>
      <c r="P63" s="37">
        <f>O63*Baseline_DCF!$B$10</f>
        <v>0</v>
      </c>
      <c r="Q63" s="40">
        <f t="shared" si="4"/>
        <v>0</v>
      </c>
      <c r="R63" s="37">
        <f>-E63*Baseline_DCF!$B$22*(1+Baseline_DCF!$B$18)^(Baseline_DCF!A63)</f>
        <v>-2649325.9143258114</v>
      </c>
      <c r="S63" s="37">
        <f>-R63*Baseline_DCF!$B$10</f>
        <v>0</v>
      </c>
      <c r="T63" s="40">
        <f t="shared" si="5"/>
        <v>-2649325.9143258114</v>
      </c>
      <c r="U63" s="40">
        <f t="shared" si="6"/>
        <v>-2649325.9143258114</v>
      </c>
      <c r="V63" s="38">
        <f t="shared" si="1"/>
        <v>-697650.3160850174</v>
      </c>
      <c r="W63" s="40">
        <f t="shared" si="2"/>
        <v>2649325.9143258114</v>
      </c>
    </row>
    <row r="64" spans="1:23" ht="14.4" x14ac:dyDescent="0.3">
      <c r="A64" s="35">
        <f t="shared" si="3"/>
        <v>15</v>
      </c>
      <c r="B64" s="44">
        <f>1/(1+Baseline_DCF!$B$9)^A64</f>
        <v>0.23939204936916339</v>
      </c>
      <c r="C64" s="36">
        <f>IF(A64&lt;(Baseline_DCF!$B$7+1),1,0)</f>
        <v>0</v>
      </c>
      <c r="D64" s="36">
        <f>IF(A64&lt;(Baseline_DCF!$B$11+1),1,0)</f>
        <v>1</v>
      </c>
      <c r="E64" s="36">
        <f>IF(A64&lt;(Baseline_DCF!$B$12+1),1,0)</f>
        <v>1</v>
      </c>
      <c r="F64" s="37">
        <f xml:space="preserve"> -Baseline_DCF!$B$33*D64</f>
        <v>0</v>
      </c>
      <c r="G64" s="40">
        <f>-F64*Baseline_DCF!$B$10</f>
        <v>0</v>
      </c>
      <c r="H64" s="40">
        <f>-Baseline_DCF!$B$29*C64</f>
        <v>0</v>
      </c>
      <c r="I64" s="37">
        <f t="shared" si="7"/>
        <v>0</v>
      </c>
      <c r="J64" s="37">
        <f t="shared" si="0"/>
        <v>0</v>
      </c>
      <c r="K64" s="37">
        <f>-I64*Baseline_DCF!$B$8</f>
        <v>0</v>
      </c>
      <c r="L64" s="40">
        <f>-(K64*Baseline_DCF!$B$10)</f>
        <v>0</v>
      </c>
      <c r="M64" s="37">
        <f>-Baseline_DCF!$B$15*Baseline_DCF!$B$24*E64*(1+Baseline_DCF!$B$16)^A64</f>
        <v>0</v>
      </c>
      <c r="N64" s="37">
        <f>M64*Baseline_DCF!$B$10</f>
        <v>0</v>
      </c>
      <c r="O64" s="37">
        <f>-E64*Baseline_DCF!$D$23*Baseline_DCF!$B$14*(1+Baseline_DCF!$B$16)^A64</f>
        <v>0</v>
      </c>
      <c r="P64" s="37">
        <f>O64*Baseline_DCF!$B$10</f>
        <v>0</v>
      </c>
      <c r="Q64" s="40">
        <f t="shared" si="4"/>
        <v>0</v>
      </c>
      <c r="R64" s="37">
        <f>-E64*Baseline_DCF!$B$22*(1+Baseline_DCF!$B$18)^(Baseline_DCF!A64)</f>
        <v>-2715559.0621839571</v>
      </c>
      <c r="S64" s="37">
        <f>-R64*Baseline_DCF!$B$10</f>
        <v>0</v>
      </c>
      <c r="T64" s="40">
        <f t="shared" si="5"/>
        <v>-2715559.0621839571</v>
      </c>
      <c r="U64" s="40">
        <f t="shared" si="6"/>
        <v>-2715559.0621839571</v>
      </c>
      <c r="V64" s="38">
        <f t="shared" si="1"/>
        <v>-650083.24907922093</v>
      </c>
      <c r="W64" s="40">
        <f t="shared" si="2"/>
        <v>2715559.0621839571</v>
      </c>
    </row>
    <row r="65" spans="1:23" ht="14.4" x14ac:dyDescent="0.3">
      <c r="A65" s="35">
        <f t="shared" si="3"/>
        <v>16</v>
      </c>
      <c r="B65" s="44">
        <f>1/(1+Baseline_DCF!$B$9)^A65</f>
        <v>0.21762913579014853</v>
      </c>
      <c r="C65" s="36">
        <f>IF(A65&lt;(Baseline_DCF!$B$7+1),1,0)</f>
        <v>0</v>
      </c>
      <c r="D65" s="36">
        <f>IF(A65&lt;(Baseline_DCF!$B$11+1),1,0)</f>
        <v>0</v>
      </c>
      <c r="E65" s="36">
        <f>IF(A65&lt;(Baseline_DCF!$B$12+1),1,0)</f>
        <v>1</v>
      </c>
      <c r="F65" s="37">
        <f xml:space="preserve"> -Baseline_DCF!$B$33*D65</f>
        <v>0</v>
      </c>
      <c r="G65" s="40">
        <f>-F65*Baseline_DCF!$B$10</f>
        <v>0</v>
      </c>
      <c r="H65" s="40">
        <f>-Baseline_DCF!$B$29*C65</f>
        <v>0</v>
      </c>
      <c r="I65" s="37">
        <f>J64</f>
        <v>0</v>
      </c>
      <c r="J65" s="37">
        <f t="shared" si="0"/>
        <v>0</v>
      </c>
      <c r="K65" s="37">
        <f>-I65*Baseline_DCF!$B$8</f>
        <v>0</v>
      </c>
      <c r="L65" s="40">
        <f>-(K65*Baseline_DCF!$B$10)</f>
        <v>0</v>
      </c>
      <c r="M65" s="37">
        <f>-Baseline_DCF!$B$15*Baseline_DCF!$B$24*E65*(1+Baseline_DCF!$B$16)^A65</f>
        <v>0</v>
      </c>
      <c r="N65" s="37">
        <f>M65*Baseline_DCF!$B$10</f>
        <v>0</v>
      </c>
      <c r="O65" s="37">
        <f>-E65*Baseline_DCF!$D$23*Baseline_DCF!$B$14*(1+Baseline_DCF!$B$16)^A65</f>
        <v>0</v>
      </c>
      <c r="P65" s="37">
        <f>O65*Baseline_DCF!$B$10</f>
        <v>0</v>
      </c>
      <c r="Q65" s="40">
        <f t="shared" si="4"/>
        <v>0</v>
      </c>
      <c r="R65" s="37">
        <f>-E65*Baseline_DCF!$B$22*(1+Baseline_DCF!$B$18)^(Baseline_DCF!A65)</f>
        <v>-2783448.0387385557</v>
      </c>
      <c r="S65" s="37">
        <f>-R65*Baseline_DCF!$B$10</f>
        <v>0</v>
      </c>
      <c r="T65" s="40">
        <f t="shared" si="5"/>
        <v>-2783448.0387385557</v>
      </c>
      <c r="U65" s="40">
        <f t="shared" si="6"/>
        <v>-2783448.0387385557</v>
      </c>
      <c r="V65" s="38">
        <f t="shared" si="1"/>
        <v>-605759.39118745574</v>
      </c>
      <c r="W65" s="40">
        <f t="shared" si="2"/>
        <v>2783448.0387385557</v>
      </c>
    </row>
    <row r="66" spans="1:23" ht="14.4" x14ac:dyDescent="0.3">
      <c r="A66" s="35">
        <f t="shared" si="3"/>
        <v>17</v>
      </c>
      <c r="B66" s="44">
        <f>1/(1+Baseline_DCF!$B$9)^A66</f>
        <v>0.19784466890013502</v>
      </c>
      <c r="C66" s="36">
        <f>IF(A66&lt;(Baseline_DCF!$B$7+1),1,0)</f>
        <v>0</v>
      </c>
      <c r="D66" s="36">
        <f>IF(A66&lt;(Baseline_DCF!$B$11+1),1,0)</f>
        <v>0</v>
      </c>
      <c r="E66" s="36">
        <f>IF(A66&lt;(Baseline_DCF!$B$12+1),1,0)</f>
        <v>1</v>
      </c>
      <c r="F66" s="37">
        <f xml:space="preserve"> -Baseline_DCF!$B$33*D66</f>
        <v>0</v>
      </c>
      <c r="G66" s="40">
        <f>-F66*Baseline_DCF!$B$10</f>
        <v>0</v>
      </c>
      <c r="H66" s="40">
        <f>-Baseline_DCF!$B$29*C66</f>
        <v>0</v>
      </c>
      <c r="I66" s="37">
        <f t="shared" ref="I66:I89" si="8">J65</f>
        <v>0</v>
      </c>
      <c r="J66" s="37">
        <f t="shared" si="0"/>
        <v>0</v>
      </c>
      <c r="K66" s="37">
        <f>-I66*Baseline_DCF!$B$8</f>
        <v>0</v>
      </c>
      <c r="L66" s="40">
        <f>-(K66*Baseline_DCF!$B$10)</f>
        <v>0</v>
      </c>
      <c r="M66" s="37">
        <f>-Baseline_DCF!$B$15*Baseline_DCF!$B$24*E66*(1+Baseline_DCF!$B$16)^A66</f>
        <v>0</v>
      </c>
      <c r="N66" s="37">
        <f>M66*Baseline_DCF!$B$10</f>
        <v>0</v>
      </c>
      <c r="O66" s="37">
        <f>-E66*Baseline_DCF!$D$23*Baseline_DCF!$B$14*(1+Baseline_DCF!$B$16)^A66</f>
        <v>0</v>
      </c>
      <c r="P66" s="37">
        <f>O66*Baseline_DCF!$B$10</f>
        <v>0</v>
      </c>
      <c r="Q66" s="40">
        <f t="shared" si="4"/>
        <v>0</v>
      </c>
      <c r="R66" s="37">
        <f>-E66*Baseline_DCF!$B$22*(1+Baseline_DCF!$B$18)^(Baseline_DCF!A66)</f>
        <v>-2853034.2397070192</v>
      </c>
      <c r="S66" s="37">
        <f>-R66*Baseline_DCF!$B$10</f>
        <v>0</v>
      </c>
      <c r="T66" s="40">
        <f t="shared" si="5"/>
        <v>-2853034.2397070192</v>
      </c>
      <c r="U66" s="40">
        <f t="shared" si="6"/>
        <v>-2853034.2397070192</v>
      </c>
      <c r="V66" s="38">
        <f t="shared" si="1"/>
        <v>-564457.61451558361</v>
      </c>
      <c r="W66" s="40">
        <f t="shared" si="2"/>
        <v>2853034.2397070192</v>
      </c>
    </row>
    <row r="67" spans="1:23" ht="14.4" x14ac:dyDescent="0.3">
      <c r="A67" s="35">
        <f t="shared" si="3"/>
        <v>18</v>
      </c>
      <c r="B67" s="44">
        <f>1/(1+Baseline_DCF!$B$9)^A67</f>
        <v>0.17985878990921364</v>
      </c>
      <c r="C67" s="36">
        <f>IF(A67&lt;(Baseline_DCF!$B$7+1),1,0)</f>
        <v>0</v>
      </c>
      <c r="D67" s="36">
        <f>IF(A67&lt;(Baseline_DCF!$B$11+1),1,0)</f>
        <v>0</v>
      </c>
      <c r="E67" s="36">
        <f>IF(A67&lt;(Baseline_DCF!$B$12+1),1,0)</f>
        <v>1</v>
      </c>
      <c r="F67" s="37">
        <f xml:space="preserve"> -Baseline_DCF!$B$33*D67</f>
        <v>0</v>
      </c>
      <c r="G67" s="40">
        <f>-F67*Baseline_DCF!$B$10</f>
        <v>0</v>
      </c>
      <c r="H67" s="40">
        <f>-Baseline_DCF!$B$29*C67</f>
        <v>0</v>
      </c>
      <c r="I67" s="37">
        <f t="shared" si="8"/>
        <v>0</v>
      </c>
      <c r="J67" s="37">
        <f t="shared" si="0"/>
        <v>0</v>
      </c>
      <c r="K67" s="37">
        <f>-I67*Baseline_DCF!$B$8</f>
        <v>0</v>
      </c>
      <c r="L67" s="40">
        <f>-(K67*Baseline_DCF!$B$10)</f>
        <v>0</v>
      </c>
      <c r="M67" s="37">
        <f>-Baseline_DCF!$B$15*Baseline_DCF!$B$24*E67*(1+Baseline_DCF!$B$16)^A67</f>
        <v>0</v>
      </c>
      <c r="N67" s="37">
        <f>M67*Baseline_DCF!$B$10</f>
        <v>0</v>
      </c>
      <c r="O67" s="37">
        <f>-E67*Baseline_DCF!$D$23*Baseline_DCF!$B$14*(1+Baseline_DCF!$B$16)^A67</f>
        <v>0</v>
      </c>
      <c r="P67" s="37">
        <f>O67*Baseline_DCF!$B$10</f>
        <v>0</v>
      </c>
      <c r="Q67" s="40">
        <f t="shared" si="4"/>
        <v>0</v>
      </c>
      <c r="R67" s="37">
        <f>-E67*Baseline_DCF!$B$22*(1+Baseline_DCF!$B$18)^(Baseline_DCF!A67)</f>
        <v>-2924360.0956996949</v>
      </c>
      <c r="S67" s="37">
        <f>-R67*Baseline_DCF!$B$10</f>
        <v>0</v>
      </c>
      <c r="T67" s="40">
        <f t="shared" si="5"/>
        <v>-2924360.0956996949</v>
      </c>
      <c r="U67" s="40">
        <f t="shared" si="6"/>
        <v>-2924360.0956996949</v>
      </c>
      <c r="V67" s="38">
        <f t="shared" si="1"/>
        <v>-525971.86807133933</v>
      </c>
      <c r="W67" s="40">
        <f t="shared" si="2"/>
        <v>2924360.0956996949</v>
      </c>
    </row>
    <row r="68" spans="1:23" ht="14.4" x14ac:dyDescent="0.3">
      <c r="A68" s="35">
        <f t="shared" si="3"/>
        <v>19</v>
      </c>
      <c r="B68" s="44">
        <f>1/(1+Baseline_DCF!$B$9)^A68</f>
        <v>0.16350799082655781</v>
      </c>
      <c r="C68" s="36">
        <f>IF(A68&lt;(Baseline_DCF!$B$7+1),1,0)</f>
        <v>0</v>
      </c>
      <c r="D68" s="36">
        <f>IF(A68&lt;(Baseline_DCF!$B$11+1),1,0)</f>
        <v>0</v>
      </c>
      <c r="E68" s="36">
        <f>IF(A68&lt;(Baseline_DCF!$B$12+1),1,0)</f>
        <v>1</v>
      </c>
      <c r="F68" s="37">
        <f xml:space="preserve"> -Baseline_DCF!$B$33*D68</f>
        <v>0</v>
      </c>
      <c r="G68" s="40">
        <f>-F68*Baseline_DCF!$B$10</f>
        <v>0</v>
      </c>
      <c r="H68" s="40">
        <f>-Baseline_DCF!$B$29*C68</f>
        <v>0</v>
      </c>
      <c r="I68" s="37">
        <f t="shared" si="8"/>
        <v>0</v>
      </c>
      <c r="J68" s="37">
        <f t="shared" si="0"/>
        <v>0</v>
      </c>
      <c r="K68" s="37">
        <f>-I68*Baseline_DCF!$B$8</f>
        <v>0</v>
      </c>
      <c r="L68" s="40">
        <f>-(K68*Baseline_DCF!$B$10)</f>
        <v>0</v>
      </c>
      <c r="M68" s="37">
        <f>-Baseline_DCF!$B$15*Baseline_DCF!$B$24*E68*(1+Baseline_DCF!$B$16)^A68</f>
        <v>0</v>
      </c>
      <c r="N68" s="37">
        <f>M68*Baseline_DCF!$B$10</f>
        <v>0</v>
      </c>
      <c r="O68" s="37">
        <f>-E68*Baseline_DCF!$D$23*Baseline_DCF!$B$14*(1+Baseline_DCF!$B$16)^A68</f>
        <v>0</v>
      </c>
      <c r="P68" s="37">
        <f>O68*Baseline_DCF!$B$10</f>
        <v>0</v>
      </c>
      <c r="Q68" s="40">
        <f t="shared" si="4"/>
        <v>0</v>
      </c>
      <c r="R68" s="37">
        <f>-E68*Baseline_DCF!$B$22*(1+Baseline_DCF!$B$18)^(Baseline_DCF!A68)</f>
        <v>-2997469.0980921872</v>
      </c>
      <c r="S68" s="37">
        <f>-R68*Baseline_DCF!$B$10</f>
        <v>0</v>
      </c>
      <c r="T68" s="40">
        <f t="shared" si="5"/>
        <v>-2997469.0980921872</v>
      </c>
      <c r="U68" s="40">
        <f t="shared" si="6"/>
        <v>-2997469.0980921872</v>
      </c>
      <c r="V68" s="38">
        <f t="shared" si="1"/>
        <v>-490110.14979374787</v>
      </c>
      <c r="W68" s="40">
        <f t="shared" si="2"/>
        <v>2997469.0980921872</v>
      </c>
    </row>
    <row r="69" spans="1:23" ht="14.4" x14ac:dyDescent="0.3">
      <c r="A69" s="35">
        <f t="shared" si="3"/>
        <v>20</v>
      </c>
      <c r="B69" s="44">
        <f>1/(1+Baseline_DCF!$B$9)^A69</f>
        <v>0.14864362802414349</v>
      </c>
      <c r="C69" s="36">
        <f>IF(A69&lt;(Baseline_DCF!$B$7+1),1,0)</f>
        <v>0</v>
      </c>
      <c r="D69" s="36">
        <f>IF(A69&lt;(Baseline_DCF!$B$11+1),1,0)</f>
        <v>0</v>
      </c>
      <c r="E69" s="36">
        <f>IF(A69&lt;(Baseline_DCF!$B$12+1),1,0)</f>
        <v>1</v>
      </c>
      <c r="F69" s="37">
        <f xml:space="preserve"> -Baseline_DCF!$B$33*D69</f>
        <v>0</v>
      </c>
      <c r="G69" s="40">
        <f>-F69*Baseline_DCF!$B$10</f>
        <v>0</v>
      </c>
      <c r="H69" s="40">
        <f>-Baseline_DCF!$B$29*C69</f>
        <v>0</v>
      </c>
      <c r="I69" s="37">
        <f t="shared" si="8"/>
        <v>0</v>
      </c>
      <c r="J69" s="37">
        <f t="shared" si="0"/>
        <v>0</v>
      </c>
      <c r="K69" s="37">
        <f>-I69*Baseline_DCF!$B$8</f>
        <v>0</v>
      </c>
      <c r="L69" s="40">
        <f>-(K69*Baseline_DCF!$B$10)</f>
        <v>0</v>
      </c>
      <c r="M69" s="37">
        <f>-Baseline_DCF!$B$15*Baseline_DCF!$B$24*E69*(1+Baseline_DCF!$B$16)^A69</f>
        <v>0</v>
      </c>
      <c r="N69" s="37">
        <f>M69*Baseline_DCF!$B$10</f>
        <v>0</v>
      </c>
      <c r="O69" s="37">
        <f>-E69*Baseline_DCF!$D$23*Baseline_DCF!$B$14*(1+Baseline_DCF!$B$16)^A69</f>
        <v>0</v>
      </c>
      <c r="P69" s="37">
        <f>O69*Baseline_DCF!$B$10</f>
        <v>0</v>
      </c>
      <c r="Q69" s="40">
        <f t="shared" si="4"/>
        <v>0</v>
      </c>
      <c r="R69" s="37">
        <f>-E69*Baseline_DCF!$B$22*(1+Baseline_DCF!$B$18)^(Baseline_DCF!A69)</f>
        <v>-3072405.8255444919</v>
      </c>
      <c r="S69" s="37">
        <f>-R69*Baseline_DCF!$B$10</f>
        <v>0</v>
      </c>
      <c r="T69" s="40">
        <f t="shared" si="5"/>
        <v>-3072405.8255444919</v>
      </c>
      <c r="U69" s="40">
        <f>G69+H69+L69+Q69+T69+IF(AND(E69=1,E70=0),$B$25,0)</f>
        <v>-3072405.8255444919</v>
      </c>
      <c r="V69" s="38">
        <f t="shared" si="1"/>
        <v>-456693.54867144697</v>
      </c>
      <c r="W69" s="40">
        <f t="shared" si="2"/>
        <v>3072405.8255444919</v>
      </c>
    </row>
    <row r="70" spans="1:23" ht="14.4" x14ac:dyDescent="0.3">
      <c r="A70" s="35">
        <f t="shared" si="3"/>
        <v>21</v>
      </c>
      <c r="B70" s="44">
        <f>1/(1+Baseline_DCF!$B$9)^A70</f>
        <v>0.13513057093103953</v>
      </c>
      <c r="C70" s="36">
        <f>IF(A70&lt;(Baseline_DCF!$B$7+1),1,0)</f>
        <v>0</v>
      </c>
      <c r="D70" s="36">
        <f>IF(A70&lt;(Baseline_DCF!$B$11+1),1,0)</f>
        <v>0</v>
      </c>
      <c r="E70" s="36">
        <f>IF(A70&lt;(Baseline_DCF!$B$12+1),1,0)</f>
        <v>0</v>
      </c>
      <c r="F70" s="37">
        <f xml:space="preserve"> -Baseline_DCF!$B$33*D70</f>
        <v>0</v>
      </c>
      <c r="G70" s="40">
        <f>-F70*Baseline_DCF!$B$10</f>
        <v>0</v>
      </c>
      <c r="H70" s="40">
        <f>-Baseline_DCF!$B$29*C70</f>
        <v>0</v>
      </c>
      <c r="I70" s="37">
        <f t="shared" si="8"/>
        <v>0</v>
      </c>
      <c r="J70" s="37">
        <f t="shared" si="0"/>
        <v>0</v>
      </c>
      <c r="K70" s="37">
        <f>-I70*Baseline_DCF!$B$8</f>
        <v>0</v>
      </c>
      <c r="L70" s="40">
        <f>-(K70*Baseline_DCF!$B$10)</f>
        <v>0</v>
      </c>
      <c r="M70" s="37">
        <f>-Baseline_DCF!$B$15*Baseline_DCF!$B$24*E70*(1+Baseline_DCF!$B$16)^A70</f>
        <v>0</v>
      </c>
      <c r="N70" s="37">
        <f>M70*Baseline_DCF!$B$10</f>
        <v>0</v>
      </c>
      <c r="O70" s="37">
        <f>-E70*Baseline_DCF!$D$23*Baseline_DCF!$B$14*(1+Baseline_DCF!$B$16)^A70</f>
        <v>0</v>
      </c>
      <c r="P70" s="37">
        <f>O70*Baseline_DCF!$B$10</f>
        <v>0</v>
      </c>
      <c r="Q70" s="40">
        <f t="shared" si="4"/>
        <v>0</v>
      </c>
      <c r="R70" s="37">
        <f>-E70*Baseline_DCF!$B$22*(1+Baseline_DCF!$B$18)^(Baseline_DCF!A70)</f>
        <v>0</v>
      </c>
      <c r="S70" s="37">
        <f>-R70*Baseline_DCF!$B$10</f>
        <v>0</v>
      </c>
      <c r="T70" s="40">
        <f t="shared" si="5"/>
        <v>0</v>
      </c>
      <c r="U70" s="40">
        <f t="shared" si="6"/>
        <v>0</v>
      </c>
      <c r="V70" s="38">
        <f t="shared" si="1"/>
        <v>0</v>
      </c>
      <c r="W70" s="40">
        <f t="shared" si="2"/>
        <v>0</v>
      </c>
    </row>
    <row r="71" spans="1:23" ht="14.4" x14ac:dyDescent="0.3">
      <c r="A71" s="35">
        <f t="shared" si="3"/>
        <v>22</v>
      </c>
      <c r="B71" s="44">
        <f>1/(1+Baseline_DCF!$B$9)^A71</f>
        <v>0.12284597357367227</v>
      </c>
      <c r="C71" s="36">
        <f>IF(A71&lt;(Baseline_DCF!$B$7+1),1,0)</f>
        <v>0</v>
      </c>
      <c r="D71" s="36">
        <f>IF(A71&lt;(Baseline_DCF!$B$11+1),1,0)</f>
        <v>0</v>
      </c>
      <c r="E71" s="36">
        <f>IF(A71&lt;(Baseline_DCF!$B$12+1),1,0)</f>
        <v>0</v>
      </c>
      <c r="F71" s="37">
        <f xml:space="preserve"> -Baseline_DCF!$B$33*D71</f>
        <v>0</v>
      </c>
      <c r="G71" s="40">
        <f>-F71*Baseline_DCF!$B$10</f>
        <v>0</v>
      </c>
      <c r="H71" s="40">
        <f>-Baseline_DCF!$B$29*C71</f>
        <v>0</v>
      </c>
      <c r="I71" s="37">
        <f t="shared" si="8"/>
        <v>0</v>
      </c>
      <c r="J71" s="37">
        <f t="shared" si="0"/>
        <v>0</v>
      </c>
      <c r="K71" s="37">
        <f>-I71*Baseline_DCF!$B$8</f>
        <v>0</v>
      </c>
      <c r="L71" s="40">
        <f>-(K71*Baseline_DCF!$B$10)</f>
        <v>0</v>
      </c>
      <c r="M71" s="37">
        <f>-Baseline_DCF!$B$15*Baseline_DCF!$B$24*E71*(1+Baseline_DCF!$B$16)^A71</f>
        <v>0</v>
      </c>
      <c r="N71" s="37">
        <f>M71*Baseline_DCF!$B$10</f>
        <v>0</v>
      </c>
      <c r="O71" s="37">
        <f>-E71*Baseline_DCF!$D$23*Baseline_DCF!$B$14*(1+Baseline_DCF!$B$16)^A71</f>
        <v>0</v>
      </c>
      <c r="P71" s="37">
        <f>O71*Baseline_DCF!$B$10</f>
        <v>0</v>
      </c>
      <c r="Q71" s="40">
        <f t="shared" si="4"/>
        <v>0</v>
      </c>
      <c r="R71" s="37">
        <f>-E71*Baseline_DCF!$B$22*(1+Baseline_DCF!$B$18)^(Baseline_DCF!A71)</f>
        <v>0</v>
      </c>
      <c r="S71" s="37">
        <f>-R71*Baseline_DCF!$B$10</f>
        <v>0</v>
      </c>
      <c r="T71" s="40">
        <f t="shared" si="5"/>
        <v>0</v>
      </c>
      <c r="U71" s="40">
        <f t="shared" si="6"/>
        <v>0</v>
      </c>
      <c r="V71" s="38">
        <f t="shared" si="1"/>
        <v>0</v>
      </c>
      <c r="W71" s="40">
        <f t="shared" si="2"/>
        <v>0</v>
      </c>
    </row>
    <row r="72" spans="1:23" ht="14.4" x14ac:dyDescent="0.3">
      <c r="A72" s="35">
        <f t="shared" si="3"/>
        <v>23</v>
      </c>
      <c r="B72" s="44">
        <f>1/(1+Baseline_DCF!$B$9)^A72</f>
        <v>0.11167815779424752</v>
      </c>
      <c r="C72" s="36">
        <f>IF(A72&lt;(Baseline_DCF!$B$7+1),1,0)</f>
        <v>0</v>
      </c>
      <c r="D72" s="36">
        <f>IF(A72&lt;(Baseline_DCF!$B$11+1),1,0)</f>
        <v>0</v>
      </c>
      <c r="E72" s="36">
        <f>IF(A72&lt;(Baseline_DCF!$B$12+1),1,0)</f>
        <v>0</v>
      </c>
      <c r="F72" s="37">
        <f xml:space="preserve"> -Baseline_DCF!$B$33*D72</f>
        <v>0</v>
      </c>
      <c r="G72" s="40">
        <f>-F72*Baseline_DCF!$B$10</f>
        <v>0</v>
      </c>
      <c r="H72" s="40">
        <f>-Baseline_DCF!$B$29*C72</f>
        <v>0</v>
      </c>
      <c r="I72" s="37">
        <f t="shared" si="8"/>
        <v>0</v>
      </c>
      <c r="J72" s="37">
        <f t="shared" si="0"/>
        <v>0</v>
      </c>
      <c r="K72" s="37">
        <f>-I72*Baseline_DCF!$B$8</f>
        <v>0</v>
      </c>
      <c r="L72" s="40">
        <f>-(K72*Baseline_DCF!$B$10)</f>
        <v>0</v>
      </c>
      <c r="M72" s="37">
        <f>-Baseline_DCF!$B$15*Baseline_DCF!$B$24*E72*(1+Baseline_DCF!$B$16)^A72</f>
        <v>0</v>
      </c>
      <c r="N72" s="37">
        <f>M72*Baseline_DCF!$B$10</f>
        <v>0</v>
      </c>
      <c r="O72" s="37">
        <f>-E72*Baseline_DCF!$D$23*Baseline_DCF!$B$14*(1+Baseline_DCF!$B$16)^A72</f>
        <v>0</v>
      </c>
      <c r="P72" s="37">
        <f>O72*Baseline_DCF!$B$10</f>
        <v>0</v>
      </c>
      <c r="Q72" s="40">
        <f t="shared" si="4"/>
        <v>0</v>
      </c>
      <c r="R72" s="37">
        <f>-E72*Baseline_DCF!$B$22*(1+Baseline_DCF!$B$18)^(Baseline_DCF!A72)</f>
        <v>0</v>
      </c>
      <c r="S72" s="37">
        <f>-R72*Baseline_DCF!$B$10</f>
        <v>0</v>
      </c>
      <c r="T72" s="40">
        <f t="shared" si="5"/>
        <v>0</v>
      </c>
      <c r="U72" s="40">
        <f t="shared" si="6"/>
        <v>0</v>
      </c>
      <c r="V72" s="38">
        <f t="shared" si="1"/>
        <v>0</v>
      </c>
      <c r="W72" s="40">
        <f t="shared" si="2"/>
        <v>0</v>
      </c>
    </row>
    <row r="73" spans="1:23" ht="14.4" x14ac:dyDescent="0.3">
      <c r="A73" s="35">
        <f t="shared" si="3"/>
        <v>24</v>
      </c>
      <c r="B73" s="44">
        <f>1/(1+Baseline_DCF!$B$9)^A73</f>
        <v>0.10152559799477048</v>
      </c>
      <c r="C73" s="36">
        <f>IF(A73&lt;(Baseline_DCF!$B$7+1),1,0)</f>
        <v>0</v>
      </c>
      <c r="D73" s="36">
        <f>IF(A73&lt;(Baseline_DCF!$B$11+1),1,0)</f>
        <v>0</v>
      </c>
      <c r="E73" s="36">
        <f>IF(A73&lt;(Baseline_DCF!$B$12+1),1,0)</f>
        <v>0</v>
      </c>
      <c r="F73" s="37">
        <f xml:space="preserve"> -Baseline_DCF!$B$33*D73</f>
        <v>0</v>
      </c>
      <c r="G73" s="40">
        <f>-F73*Baseline_DCF!$B$10</f>
        <v>0</v>
      </c>
      <c r="H73" s="40">
        <f>-Baseline_DCF!$B$29*C73</f>
        <v>0</v>
      </c>
      <c r="I73" s="37">
        <f t="shared" si="8"/>
        <v>0</v>
      </c>
      <c r="J73" s="37">
        <f t="shared" si="0"/>
        <v>0</v>
      </c>
      <c r="K73" s="37">
        <f>-I73*Baseline_DCF!$B$8</f>
        <v>0</v>
      </c>
      <c r="L73" s="40">
        <f>-(K73*Baseline_DCF!$B$10)</f>
        <v>0</v>
      </c>
      <c r="M73" s="37">
        <f>-Baseline_DCF!$B$15*Baseline_DCF!$B$24*E73*(1+Baseline_DCF!$B$16)^A73</f>
        <v>0</v>
      </c>
      <c r="N73" s="37">
        <f>M73*Baseline_DCF!$B$10</f>
        <v>0</v>
      </c>
      <c r="O73" s="37">
        <f>-E73*Baseline_DCF!$D$23*Baseline_DCF!$B$14*(1+Baseline_DCF!$B$16)^A73</f>
        <v>0</v>
      </c>
      <c r="P73" s="37">
        <f>O73*Baseline_DCF!$B$10</f>
        <v>0</v>
      </c>
      <c r="Q73" s="40">
        <f t="shared" si="4"/>
        <v>0</v>
      </c>
      <c r="R73" s="37">
        <f>-E73*Baseline_DCF!$B$22*(1+Baseline_DCF!$B$18)^(Baseline_DCF!A73)</f>
        <v>0</v>
      </c>
      <c r="S73" s="37">
        <f>-R73*Baseline_DCF!$B$10</f>
        <v>0</v>
      </c>
      <c r="T73" s="40">
        <f t="shared" si="5"/>
        <v>0</v>
      </c>
      <c r="U73" s="40">
        <f t="shared" si="6"/>
        <v>0</v>
      </c>
      <c r="V73" s="38">
        <f t="shared" si="1"/>
        <v>0</v>
      </c>
      <c r="W73" s="40">
        <f t="shared" si="2"/>
        <v>0</v>
      </c>
    </row>
    <row r="74" spans="1:23" ht="14.4" x14ac:dyDescent="0.3">
      <c r="A74" s="35">
        <f t="shared" si="3"/>
        <v>25</v>
      </c>
      <c r="B74" s="44">
        <f>1/(1+Baseline_DCF!$B$9)^A74</f>
        <v>9.2295998177064048E-2</v>
      </c>
      <c r="C74" s="36">
        <f>IF(A74&lt;(Baseline_DCF!$B$7+1),1,0)</f>
        <v>0</v>
      </c>
      <c r="D74" s="36">
        <f>IF(A74&lt;(Baseline_DCF!$B$11+1),1,0)</f>
        <v>0</v>
      </c>
      <c r="E74" s="36">
        <f>IF(A74&lt;(Baseline_DCF!$B$12+1),1,0)</f>
        <v>0</v>
      </c>
      <c r="F74" s="37">
        <f xml:space="preserve"> -Baseline_DCF!$B$33*D74</f>
        <v>0</v>
      </c>
      <c r="G74" s="40">
        <f>-F74*Baseline_DCF!$B$10</f>
        <v>0</v>
      </c>
      <c r="H74" s="40">
        <f>-Baseline_DCF!$B$29*C74</f>
        <v>0</v>
      </c>
      <c r="I74" s="37">
        <f t="shared" si="8"/>
        <v>0</v>
      </c>
      <c r="J74" s="37">
        <f t="shared" si="0"/>
        <v>0</v>
      </c>
      <c r="K74" s="37">
        <f>-I74*Baseline_DCF!$B$8</f>
        <v>0</v>
      </c>
      <c r="L74" s="40">
        <f>-(K74*Baseline_DCF!$B$10)</f>
        <v>0</v>
      </c>
      <c r="M74" s="37">
        <f>-Baseline_DCF!$B$15*Baseline_DCF!$B$24*E74*(1+Baseline_DCF!$B$16)^A74</f>
        <v>0</v>
      </c>
      <c r="N74" s="37">
        <f>M74*Baseline_DCF!$B$10</f>
        <v>0</v>
      </c>
      <c r="O74" s="37">
        <f>-E74*Baseline_DCF!$D$23*Baseline_DCF!$B$14*(1+Baseline_DCF!$B$16)^A74</f>
        <v>0</v>
      </c>
      <c r="P74" s="37">
        <f>O74*Baseline_DCF!$B$10</f>
        <v>0</v>
      </c>
      <c r="Q74" s="40">
        <f t="shared" si="4"/>
        <v>0</v>
      </c>
      <c r="R74" s="37">
        <f>-E74*Baseline_DCF!$B$22*(1+Baseline_DCF!$B$18)^(Baseline_DCF!A74)</f>
        <v>0</v>
      </c>
      <c r="S74" s="37">
        <f>-R74*Baseline_DCF!$B$10</f>
        <v>0</v>
      </c>
      <c r="T74" s="40">
        <f t="shared" si="5"/>
        <v>0</v>
      </c>
      <c r="U74" s="40">
        <f t="shared" si="6"/>
        <v>0</v>
      </c>
      <c r="V74" s="38">
        <f t="shared" si="1"/>
        <v>0</v>
      </c>
      <c r="W74" s="40">
        <f t="shared" si="2"/>
        <v>0</v>
      </c>
    </row>
    <row r="75" spans="1:23" ht="14.4" x14ac:dyDescent="0.3">
      <c r="A75" s="35">
        <f t="shared" si="3"/>
        <v>26</v>
      </c>
      <c r="B75" s="44">
        <f>1/(1+Baseline_DCF!$B$9)^A75</f>
        <v>8.3905452888240042E-2</v>
      </c>
      <c r="C75" s="36">
        <f>IF(A75&lt;(Baseline_DCF!$B$7+1),1,0)</f>
        <v>0</v>
      </c>
      <c r="D75" s="36">
        <f>IF(A75&lt;(Baseline_DCF!$B$11+1),1,0)</f>
        <v>0</v>
      </c>
      <c r="E75" s="36">
        <f>IF(A75&lt;(Baseline_DCF!$B$12+1),1,0)</f>
        <v>0</v>
      </c>
      <c r="F75" s="37">
        <f xml:space="preserve"> -Baseline_DCF!$B$33*D75</f>
        <v>0</v>
      </c>
      <c r="G75" s="40">
        <f>-F75*Baseline_DCF!$B$10</f>
        <v>0</v>
      </c>
      <c r="H75" s="40">
        <f>-Baseline_DCF!$B$29*C75</f>
        <v>0</v>
      </c>
      <c r="I75" s="37">
        <f t="shared" si="8"/>
        <v>0</v>
      </c>
      <c r="J75" s="37">
        <f t="shared" si="0"/>
        <v>0</v>
      </c>
      <c r="K75" s="37">
        <f>-I75*Baseline_DCF!$B$8</f>
        <v>0</v>
      </c>
      <c r="L75" s="40">
        <f>-(K75*Baseline_DCF!$B$10)</f>
        <v>0</v>
      </c>
      <c r="M75" s="37">
        <f>-Baseline_DCF!$B$15*Baseline_DCF!$B$24*E75*(1+Baseline_DCF!$B$16)^A75</f>
        <v>0</v>
      </c>
      <c r="N75" s="37">
        <f>M75*Baseline_DCF!$B$10</f>
        <v>0</v>
      </c>
      <c r="O75" s="37">
        <f>-E75*Baseline_DCF!$D$23*Baseline_DCF!$B$14*(1+Baseline_DCF!$B$16)^A75</f>
        <v>0</v>
      </c>
      <c r="P75" s="37">
        <f>O75*Baseline_DCF!$B$10</f>
        <v>0</v>
      </c>
      <c r="Q75" s="40">
        <f t="shared" si="4"/>
        <v>0</v>
      </c>
      <c r="R75" s="37">
        <f>-E75*Baseline_DCF!$B$22*(1+Baseline_DCF!$B$18)^(Baseline_DCF!A75)</f>
        <v>0</v>
      </c>
      <c r="S75" s="37">
        <f>-R75*Baseline_DCF!$B$10</f>
        <v>0</v>
      </c>
      <c r="T75" s="40">
        <f t="shared" si="5"/>
        <v>0</v>
      </c>
      <c r="U75" s="40">
        <f t="shared" si="6"/>
        <v>0</v>
      </c>
      <c r="V75" s="38">
        <f t="shared" si="1"/>
        <v>0</v>
      </c>
      <c r="W75" s="40">
        <f t="shared" si="2"/>
        <v>0</v>
      </c>
    </row>
    <row r="76" spans="1:23" ht="14.4" x14ac:dyDescent="0.3">
      <c r="A76" s="35">
        <f t="shared" si="3"/>
        <v>27</v>
      </c>
      <c r="B76" s="44">
        <f>1/(1+Baseline_DCF!$B$9)^A76</f>
        <v>7.6277684443854576E-2</v>
      </c>
      <c r="C76" s="36">
        <f>IF(A76&lt;(Baseline_DCF!$B$7+1),1,0)</f>
        <v>0</v>
      </c>
      <c r="D76" s="36">
        <f>IF(A76&lt;(Baseline_DCF!$B$11+1),1,0)</f>
        <v>0</v>
      </c>
      <c r="E76" s="36">
        <f>IF(A76&lt;(Baseline_DCF!$B$12+1),1,0)</f>
        <v>0</v>
      </c>
      <c r="F76" s="37">
        <f xml:space="preserve"> -Baseline_DCF!$B$33*D76</f>
        <v>0</v>
      </c>
      <c r="G76" s="40">
        <f>-F76*Baseline_DCF!$B$10</f>
        <v>0</v>
      </c>
      <c r="H76" s="40">
        <f>-Baseline_DCF!$B$29*C76</f>
        <v>0</v>
      </c>
      <c r="I76" s="37">
        <f t="shared" si="8"/>
        <v>0</v>
      </c>
      <c r="J76" s="37">
        <f t="shared" si="0"/>
        <v>0</v>
      </c>
      <c r="K76" s="37">
        <f>-I76*Baseline_DCF!$B$8</f>
        <v>0</v>
      </c>
      <c r="L76" s="40">
        <f>-(K76*Baseline_DCF!$B$10)</f>
        <v>0</v>
      </c>
      <c r="M76" s="37">
        <f>-Baseline_DCF!$B$15*Baseline_DCF!$B$24*E76*(1+Baseline_DCF!$B$16)^A76</f>
        <v>0</v>
      </c>
      <c r="N76" s="37">
        <f>M76*Baseline_DCF!$B$10</f>
        <v>0</v>
      </c>
      <c r="O76" s="37">
        <f>-E76*Baseline_DCF!$D$23*Baseline_DCF!$B$14*(1+Baseline_DCF!$B$16)^A76</f>
        <v>0</v>
      </c>
      <c r="P76" s="37">
        <f>O76*Baseline_DCF!$B$10</f>
        <v>0</v>
      </c>
      <c r="Q76" s="40">
        <f t="shared" si="4"/>
        <v>0</v>
      </c>
      <c r="R76" s="37">
        <f>-E76*Baseline_DCF!$B$22*(1+Baseline_DCF!$B$18)^(Baseline_DCF!A76)</f>
        <v>0</v>
      </c>
      <c r="S76" s="37">
        <f>-R76*Baseline_DCF!$B$10</f>
        <v>0</v>
      </c>
      <c r="T76" s="40">
        <f t="shared" si="5"/>
        <v>0</v>
      </c>
      <c r="U76" s="40">
        <f t="shared" si="6"/>
        <v>0</v>
      </c>
      <c r="V76" s="38">
        <f t="shared" si="1"/>
        <v>0</v>
      </c>
      <c r="W76" s="40">
        <f t="shared" si="2"/>
        <v>0</v>
      </c>
    </row>
    <row r="77" spans="1:23" ht="14.4" x14ac:dyDescent="0.3">
      <c r="A77" s="35">
        <f t="shared" si="3"/>
        <v>28</v>
      </c>
      <c r="B77" s="44">
        <f>1/(1+Baseline_DCF!$B$9)^A77</f>
        <v>6.9343349494413245E-2</v>
      </c>
      <c r="C77" s="36">
        <f>IF(A77&lt;(Baseline_DCF!$B$7+1),1,0)</f>
        <v>0</v>
      </c>
      <c r="D77" s="36">
        <f>IF(A77&lt;(Baseline_DCF!$B$11+1),1,0)</f>
        <v>0</v>
      </c>
      <c r="E77" s="36">
        <f>IF(A77&lt;(Baseline_DCF!$B$12+1),1,0)</f>
        <v>0</v>
      </c>
      <c r="F77" s="37">
        <f xml:space="preserve"> -Baseline_DCF!$B$33*D77</f>
        <v>0</v>
      </c>
      <c r="G77" s="40">
        <f>-F77*Baseline_DCF!$B$10</f>
        <v>0</v>
      </c>
      <c r="H77" s="40">
        <f>-Baseline_DCF!$B$29*C77</f>
        <v>0</v>
      </c>
      <c r="I77" s="37">
        <f t="shared" si="8"/>
        <v>0</v>
      </c>
      <c r="J77" s="37">
        <f t="shared" si="0"/>
        <v>0</v>
      </c>
      <c r="K77" s="37">
        <f>-I77*Baseline_DCF!$B$8</f>
        <v>0</v>
      </c>
      <c r="L77" s="40">
        <f>-(K77*Baseline_DCF!$B$10)</f>
        <v>0</v>
      </c>
      <c r="M77" s="37">
        <f>-Baseline_DCF!$B$15*Baseline_DCF!$B$24*E77*(1+Baseline_DCF!$B$16)^A77</f>
        <v>0</v>
      </c>
      <c r="N77" s="37">
        <f>M77*Baseline_DCF!$B$10</f>
        <v>0</v>
      </c>
      <c r="O77" s="37">
        <f>-E77*Baseline_DCF!$D$23*Baseline_DCF!$B$14*(1+Baseline_DCF!$B$16)^A77</f>
        <v>0</v>
      </c>
      <c r="P77" s="37">
        <f>O77*Baseline_DCF!$B$10</f>
        <v>0</v>
      </c>
      <c r="Q77" s="40">
        <f t="shared" si="4"/>
        <v>0</v>
      </c>
      <c r="R77" s="37">
        <f>-E77*Baseline_DCF!$B$22*(1+Baseline_DCF!$B$18)^(Baseline_DCF!A77)</f>
        <v>0</v>
      </c>
      <c r="S77" s="37">
        <f>-R77*Baseline_DCF!$B$10</f>
        <v>0</v>
      </c>
      <c r="T77" s="40">
        <f t="shared" si="5"/>
        <v>0</v>
      </c>
      <c r="U77" s="40">
        <f t="shared" si="6"/>
        <v>0</v>
      </c>
      <c r="V77" s="38">
        <f t="shared" si="1"/>
        <v>0</v>
      </c>
      <c r="W77" s="40">
        <f t="shared" si="2"/>
        <v>0</v>
      </c>
    </row>
    <row r="78" spans="1:23" ht="14.4" x14ac:dyDescent="0.3">
      <c r="A78" s="35">
        <f t="shared" si="3"/>
        <v>29</v>
      </c>
      <c r="B78" s="44">
        <f>1/(1+Baseline_DCF!$B$9)^A78</f>
        <v>6.3039408631284766E-2</v>
      </c>
      <c r="C78" s="36">
        <f>IF(A78&lt;(Baseline_DCF!$B$7+1),1,0)</f>
        <v>0</v>
      </c>
      <c r="D78" s="36">
        <f>IF(A78&lt;(Baseline_DCF!$B$11+1),1,0)</f>
        <v>0</v>
      </c>
      <c r="E78" s="36">
        <f>IF(A78&lt;(Baseline_DCF!$B$12+1),1,0)</f>
        <v>0</v>
      </c>
      <c r="F78" s="37">
        <f xml:space="preserve"> -Baseline_DCF!$B$33*D78</f>
        <v>0</v>
      </c>
      <c r="G78" s="40">
        <f>-F78*Baseline_DCF!$B$10</f>
        <v>0</v>
      </c>
      <c r="H78" s="40">
        <f>-Baseline_DCF!$B$29*C78</f>
        <v>0</v>
      </c>
      <c r="I78" s="37">
        <f t="shared" si="8"/>
        <v>0</v>
      </c>
      <c r="J78" s="37">
        <f t="shared" si="0"/>
        <v>0</v>
      </c>
      <c r="K78" s="37">
        <f>-I78*Baseline_DCF!$B$8</f>
        <v>0</v>
      </c>
      <c r="L78" s="40">
        <f>-(K78*Baseline_DCF!$B$10)</f>
        <v>0</v>
      </c>
      <c r="M78" s="37">
        <f>-Baseline_DCF!$B$15*Baseline_DCF!$B$24*E78*(1+Baseline_DCF!$B$16)^A78</f>
        <v>0</v>
      </c>
      <c r="N78" s="37">
        <f>M78*Baseline_DCF!$B$10</f>
        <v>0</v>
      </c>
      <c r="O78" s="37">
        <f>-E78*Baseline_DCF!$D$23*Baseline_DCF!$B$14*(1+Baseline_DCF!$B$16)^A78</f>
        <v>0</v>
      </c>
      <c r="P78" s="37">
        <f>O78*Baseline_DCF!$B$10</f>
        <v>0</v>
      </c>
      <c r="Q78" s="40">
        <f t="shared" si="4"/>
        <v>0</v>
      </c>
      <c r="R78" s="37">
        <f>-E78*Baseline_DCF!$B$22*(1+Baseline_DCF!$B$18)^(Baseline_DCF!A78)</f>
        <v>0</v>
      </c>
      <c r="S78" s="37">
        <f>-R78*Baseline_DCF!$B$10</f>
        <v>0</v>
      </c>
      <c r="T78" s="40">
        <f t="shared" si="5"/>
        <v>0</v>
      </c>
      <c r="U78" s="40">
        <f t="shared" si="6"/>
        <v>0</v>
      </c>
      <c r="V78" s="38">
        <f t="shared" si="1"/>
        <v>0</v>
      </c>
      <c r="W78" s="40">
        <f t="shared" si="2"/>
        <v>0</v>
      </c>
    </row>
    <row r="79" spans="1:23" ht="14.4" x14ac:dyDescent="0.3">
      <c r="A79" s="35">
        <f t="shared" si="3"/>
        <v>30</v>
      </c>
      <c r="B79" s="44">
        <f>1/(1+Baseline_DCF!$B$9)^A79</f>
        <v>5.7308553301167964E-2</v>
      </c>
      <c r="C79" s="36">
        <f>IF(A79&lt;(Baseline_DCF!$B$7+1),1,0)</f>
        <v>0</v>
      </c>
      <c r="D79" s="36">
        <f>IF(A79&lt;(Baseline_DCF!$B$11+1),1,0)</f>
        <v>0</v>
      </c>
      <c r="E79" s="36">
        <f>IF(A79&lt;(Baseline_DCF!$B$12+1),1,0)</f>
        <v>0</v>
      </c>
      <c r="F79" s="37">
        <f xml:space="preserve"> -Baseline_DCF!$B$33*D79</f>
        <v>0</v>
      </c>
      <c r="G79" s="40">
        <f>-F79*Baseline_DCF!$B$10</f>
        <v>0</v>
      </c>
      <c r="H79" s="40">
        <f>-Baseline_DCF!$B$29*C79</f>
        <v>0</v>
      </c>
      <c r="I79" s="37">
        <f t="shared" si="8"/>
        <v>0</v>
      </c>
      <c r="J79" s="37">
        <f t="shared" si="0"/>
        <v>0</v>
      </c>
      <c r="K79" s="37">
        <f>-I79*Baseline_DCF!$B$8</f>
        <v>0</v>
      </c>
      <c r="L79" s="40">
        <f>-(K79*Baseline_DCF!$B$10)</f>
        <v>0</v>
      </c>
      <c r="M79" s="37">
        <f>-Baseline_DCF!$B$15*Baseline_DCF!$B$24*E79*(1+Baseline_DCF!$B$16)^A79</f>
        <v>0</v>
      </c>
      <c r="N79" s="37">
        <f>M79*Baseline_DCF!$B$10</f>
        <v>0</v>
      </c>
      <c r="O79" s="37">
        <f>-E79*Baseline_DCF!$D$23*Baseline_DCF!$B$14*(1+Baseline_DCF!$B$16)^A79</f>
        <v>0</v>
      </c>
      <c r="P79" s="37">
        <f>O79*Baseline_DCF!$B$10</f>
        <v>0</v>
      </c>
      <c r="Q79" s="40">
        <f t="shared" si="4"/>
        <v>0</v>
      </c>
      <c r="R79" s="37">
        <f>-E79*Baseline_DCF!$B$22*(1+Baseline_DCF!$B$18)^(Baseline_DCF!A79)</f>
        <v>0</v>
      </c>
      <c r="S79" s="37">
        <f>-R79*Baseline_DCF!$B$10</f>
        <v>0</v>
      </c>
      <c r="T79" s="40">
        <f t="shared" si="5"/>
        <v>0</v>
      </c>
      <c r="U79" s="40">
        <f t="shared" si="6"/>
        <v>0</v>
      </c>
      <c r="V79" s="38">
        <f t="shared" si="1"/>
        <v>0</v>
      </c>
      <c r="W79" s="40">
        <f t="shared" si="2"/>
        <v>0</v>
      </c>
    </row>
    <row r="80" spans="1:23" ht="14.4" x14ac:dyDescent="0.3">
      <c r="A80" s="35">
        <f t="shared" si="3"/>
        <v>31</v>
      </c>
      <c r="B80" s="44">
        <f>1/(1+Baseline_DCF!$B$9)^A80</f>
        <v>5.2098684819243603E-2</v>
      </c>
      <c r="C80" s="36">
        <f>IF(A80&lt;(Baseline_DCF!$B$7+1),1,0)</f>
        <v>0</v>
      </c>
      <c r="D80" s="36">
        <f>IF(A80&lt;(Baseline_DCF!$B$11+1),1,0)</f>
        <v>0</v>
      </c>
      <c r="E80" s="36">
        <f>IF(A80&lt;(Baseline_DCF!$B$12+1),1,0)</f>
        <v>0</v>
      </c>
      <c r="F80" s="37">
        <f xml:space="preserve"> -Baseline_DCF!$B$33*D80</f>
        <v>0</v>
      </c>
      <c r="G80" s="40">
        <f>-F80*Baseline_DCF!$B$10</f>
        <v>0</v>
      </c>
      <c r="H80" s="40">
        <f>-Baseline_DCF!$B$29*C80</f>
        <v>0</v>
      </c>
      <c r="I80" s="37">
        <f t="shared" si="8"/>
        <v>0</v>
      </c>
      <c r="J80" s="37">
        <f t="shared" si="0"/>
        <v>0</v>
      </c>
      <c r="K80" s="37">
        <f>-I80*Baseline_DCF!$B$8</f>
        <v>0</v>
      </c>
      <c r="L80" s="40">
        <f>-(K80*Baseline_DCF!$B$10)</f>
        <v>0</v>
      </c>
      <c r="M80" s="37">
        <f>-Baseline_DCF!$B$15*Baseline_DCF!$B$24*E80*(1+Baseline_DCF!$B$16)^A80</f>
        <v>0</v>
      </c>
      <c r="N80" s="37">
        <f>M80*Baseline_DCF!$B$10</f>
        <v>0</v>
      </c>
      <c r="O80" s="37">
        <f>-E80*Baseline_DCF!$D$23*Baseline_DCF!$B$14*(1+Baseline_DCF!$B$16)^A80</f>
        <v>0</v>
      </c>
      <c r="P80" s="37">
        <f>O80*Baseline_DCF!$B$10</f>
        <v>0</v>
      </c>
      <c r="Q80" s="40">
        <f t="shared" si="4"/>
        <v>0</v>
      </c>
      <c r="R80" s="37">
        <f>-E80*Baseline_DCF!$B$22*(1+Baseline_DCF!$B$18)^(Baseline_DCF!A80)</f>
        <v>0</v>
      </c>
      <c r="S80" s="37">
        <f>-R80*Baseline_DCF!$B$10</f>
        <v>0</v>
      </c>
      <c r="T80" s="40">
        <f t="shared" si="5"/>
        <v>0</v>
      </c>
      <c r="U80" s="40">
        <f t="shared" si="6"/>
        <v>0</v>
      </c>
      <c r="V80" s="38">
        <f t="shared" si="1"/>
        <v>0</v>
      </c>
      <c r="W80" s="40">
        <f t="shared" si="2"/>
        <v>0</v>
      </c>
    </row>
    <row r="81" spans="1:23" ht="14.4" x14ac:dyDescent="0.3">
      <c r="A81" s="35">
        <f t="shared" si="3"/>
        <v>32</v>
      </c>
      <c r="B81" s="44">
        <f>1/(1+Baseline_DCF!$B$9)^A81</f>
        <v>4.7362440744766907E-2</v>
      </c>
      <c r="C81" s="36">
        <f>IF(A81&lt;(Baseline_DCF!$B$7+1),1,0)</f>
        <v>0</v>
      </c>
      <c r="D81" s="36">
        <f>IF(A81&lt;(Baseline_DCF!$B$11+1),1,0)</f>
        <v>0</v>
      </c>
      <c r="E81" s="36">
        <f>IF(A81&lt;(Baseline_DCF!$B$12+1),1,0)</f>
        <v>0</v>
      </c>
      <c r="F81" s="37">
        <f xml:space="preserve"> -Baseline_DCF!$B$33*D81</f>
        <v>0</v>
      </c>
      <c r="G81" s="40">
        <f>-F81*Baseline_DCF!$B$10</f>
        <v>0</v>
      </c>
      <c r="H81" s="40">
        <f>-Baseline_DCF!$B$29*C81</f>
        <v>0</v>
      </c>
      <c r="I81" s="37">
        <f t="shared" si="8"/>
        <v>0</v>
      </c>
      <c r="J81" s="37">
        <f t="shared" si="0"/>
        <v>0</v>
      </c>
      <c r="K81" s="37">
        <f>-I81*Baseline_DCF!$B$8</f>
        <v>0</v>
      </c>
      <c r="L81" s="40">
        <f>-(K81*Baseline_DCF!$B$10)</f>
        <v>0</v>
      </c>
      <c r="M81" s="37">
        <f>-Baseline_DCF!$B$15*Baseline_DCF!$B$24*E81*(1+Baseline_DCF!$B$16)^A81</f>
        <v>0</v>
      </c>
      <c r="N81" s="37">
        <f>M81*Baseline_DCF!$B$10</f>
        <v>0</v>
      </c>
      <c r="O81" s="37">
        <f>-E81*Baseline_DCF!$D$23*Baseline_DCF!$B$14*(1+Baseline_DCF!$B$16)^A81</f>
        <v>0</v>
      </c>
      <c r="P81" s="37">
        <f>O81*Baseline_DCF!$B$10</f>
        <v>0</v>
      </c>
      <c r="Q81" s="40">
        <f t="shared" si="4"/>
        <v>0</v>
      </c>
      <c r="R81" s="37">
        <f>-E81*Baseline_DCF!$B$22*(1+Baseline_DCF!$B$18)^(Baseline_DCF!A81)</f>
        <v>0</v>
      </c>
      <c r="S81" s="37">
        <f>-R81*Baseline_DCF!$B$10</f>
        <v>0</v>
      </c>
      <c r="T81" s="40">
        <f t="shared" si="5"/>
        <v>0</v>
      </c>
      <c r="U81" s="40">
        <f t="shared" si="6"/>
        <v>0</v>
      </c>
      <c r="V81" s="38">
        <f t="shared" si="1"/>
        <v>0</v>
      </c>
      <c r="W81" s="40">
        <f t="shared" si="2"/>
        <v>0</v>
      </c>
    </row>
    <row r="82" spans="1:23" ht="14.4" x14ac:dyDescent="0.3">
      <c r="A82" s="35">
        <f t="shared" si="3"/>
        <v>33</v>
      </c>
      <c r="B82" s="44">
        <f>1/(1+Baseline_DCF!$B$9)^A82</f>
        <v>4.3056764313424457E-2</v>
      </c>
      <c r="C82" s="36">
        <f>IF(A82&lt;(Baseline_DCF!$B$7+1),1,0)</f>
        <v>0</v>
      </c>
      <c r="D82" s="36">
        <f>IF(A82&lt;(Baseline_DCF!$B$11+1),1,0)</f>
        <v>0</v>
      </c>
      <c r="E82" s="36">
        <f>IF(A82&lt;(Baseline_DCF!$B$12+1),1,0)</f>
        <v>0</v>
      </c>
      <c r="F82" s="37">
        <f xml:space="preserve"> -Baseline_DCF!$B$33*D82</f>
        <v>0</v>
      </c>
      <c r="G82" s="40">
        <f>-F82*Baseline_DCF!$B$10</f>
        <v>0</v>
      </c>
      <c r="H82" s="40">
        <f>-Baseline_DCF!$B$29*C82</f>
        <v>0</v>
      </c>
      <c r="I82" s="37">
        <f t="shared" si="8"/>
        <v>0</v>
      </c>
      <c r="J82" s="37">
        <f t="shared" si="0"/>
        <v>0</v>
      </c>
      <c r="K82" s="37">
        <f>-I82*Baseline_DCF!$B$8</f>
        <v>0</v>
      </c>
      <c r="L82" s="40">
        <f>-(K82*Baseline_DCF!$B$10)</f>
        <v>0</v>
      </c>
      <c r="M82" s="37">
        <f>-Baseline_DCF!$B$15*Baseline_DCF!$B$24*E82*(1+Baseline_DCF!$B$16)^A82</f>
        <v>0</v>
      </c>
      <c r="N82" s="37">
        <f>M82*Baseline_DCF!$B$10</f>
        <v>0</v>
      </c>
      <c r="O82" s="37">
        <f>-E82*Baseline_DCF!$D$23*Baseline_DCF!$B$14*(1+Baseline_DCF!$B$16)^A82</f>
        <v>0</v>
      </c>
      <c r="P82" s="37">
        <f>O82*Baseline_DCF!$B$10</f>
        <v>0</v>
      </c>
      <c r="Q82" s="40">
        <f t="shared" si="4"/>
        <v>0</v>
      </c>
      <c r="R82" s="37">
        <f>-E82*Baseline_DCF!$B$22*(1+Baseline_DCF!$B$18)^(Baseline_DCF!A82)</f>
        <v>0</v>
      </c>
      <c r="S82" s="37">
        <f>-R82*Baseline_DCF!$B$10</f>
        <v>0</v>
      </c>
      <c r="T82" s="40">
        <f t="shared" si="5"/>
        <v>0</v>
      </c>
      <c r="U82" s="40">
        <f t="shared" si="6"/>
        <v>0</v>
      </c>
      <c r="V82" s="38">
        <f t="shared" si="1"/>
        <v>0</v>
      </c>
      <c r="W82" s="40">
        <f t="shared" si="2"/>
        <v>0</v>
      </c>
    </row>
    <row r="83" spans="1:23" ht="14.4" x14ac:dyDescent="0.3">
      <c r="A83" s="35">
        <f t="shared" si="3"/>
        <v>34</v>
      </c>
      <c r="B83" s="44">
        <f>1/(1+Baseline_DCF!$B$9)^A83</f>
        <v>3.9142513012204054E-2</v>
      </c>
      <c r="C83" s="36">
        <f>IF(A83&lt;(Baseline_DCF!$B$7+1),1,0)</f>
        <v>0</v>
      </c>
      <c r="D83" s="36">
        <f>IF(A83&lt;(Baseline_DCF!$B$11+1),1,0)</f>
        <v>0</v>
      </c>
      <c r="E83" s="36">
        <f>IF(A83&lt;(Baseline_DCF!$B$12+1),1,0)</f>
        <v>0</v>
      </c>
      <c r="F83" s="37">
        <f xml:space="preserve"> -Baseline_DCF!$B$33*D83</f>
        <v>0</v>
      </c>
      <c r="G83" s="40">
        <f>-F83*Baseline_DCF!$B$10</f>
        <v>0</v>
      </c>
      <c r="H83" s="40">
        <f>-Baseline_DCF!$B$29*C83</f>
        <v>0</v>
      </c>
      <c r="I83" s="37">
        <f t="shared" si="8"/>
        <v>0</v>
      </c>
      <c r="J83" s="37">
        <f t="shared" si="0"/>
        <v>0</v>
      </c>
      <c r="K83" s="37">
        <f>-I83*Baseline_DCF!$B$8</f>
        <v>0</v>
      </c>
      <c r="L83" s="40">
        <f>-(K83*Baseline_DCF!$B$10)</f>
        <v>0</v>
      </c>
      <c r="M83" s="37">
        <f>-Baseline_DCF!$B$15*Baseline_DCF!$B$24*E83*(1+Baseline_DCF!$B$16)^A83</f>
        <v>0</v>
      </c>
      <c r="N83" s="37">
        <f>M83*Baseline_DCF!$B$10</f>
        <v>0</v>
      </c>
      <c r="O83" s="37">
        <f>-E83*Baseline_DCF!$D$23*Baseline_DCF!$B$14*(1+Baseline_DCF!$B$16)^A83</f>
        <v>0</v>
      </c>
      <c r="P83" s="37">
        <f>O83*Baseline_DCF!$B$10</f>
        <v>0</v>
      </c>
      <c r="Q83" s="40">
        <f t="shared" si="4"/>
        <v>0</v>
      </c>
      <c r="R83" s="37">
        <f>-E83*Baseline_DCF!$B$22*(1+Baseline_DCF!$B$18)^(Baseline_DCF!A83)</f>
        <v>0</v>
      </c>
      <c r="S83" s="37">
        <f>-R83*Baseline_DCF!$B$10</f>
        <v>0</v>
      </c>
      <c r="T83" s="40">
        <f t="shared" si="5"/>
        <v>0</v>
      </c>
      <c r="U83" s="40">
        <f t="shared" si="6"/>
        <v>0</v>
      </c>
      <c r="V83" s="38">
        <f t="shared" si="1"/>
        <v>0</v>
      </c>
      <c r="W83" s="40">
        <f t="shared" si="2"/>
        <v>0</v>
      </c>
    </row>
    <row r="84" spans="1:23" ht="14.4" x14ac:dyDescent="0.3">
      <c r="A84" s="35">
        <f t="shared" si="3"/>
        <v>35</v>
      </c>
      <c r="B84" s="44">
        <f>1/(1+Baseline_DCF!$B$9)^A84</f>
        <v>3.5584102738367311E-2</v>
      </c>
      <c r="C84" s="36">
        <f>IF(A84&lt;(Baseline_DCF!$B$7+1),1,0)</f>
        <v>0</v>
      </c>
      <c r="D84" s="36">
        <f>IF(A84&lt;(Baseline_DCF!$B$11+1),1,0)</f>
        <v>0</v>
      </c>
      <c r="E84" s="36">
        <f>IF(A84&lt;(Baseline_DCF!$B$12+1),1,0)</f>
        <v>0</v>
      </c>
      <c r="F84" s="37">
        <f xml:space="preserve"> -Baseline_DCF!$B$33*D84</f>
        <v>0</v>
      </c>
      <c r="G84" s="40">
        <f>-F84*Baseline_DCF!$B$10</f>
        <v>0</v>
      </c>
      <c r="H84" s="40">
        <f>-Baseline_DCF!$B$29*C84</f>
        <v>0</v>
      </c>
      <c r="I84" s="37">
        <f t="shared" si="8"/>
        <v>0</v>
      </c>
      <c r="J84" s="37">
        <f t="shared" si="0"/>
        <v>0</v>
      </c>
      <c r="K84" s="37">
        <f>-I84*Baseline_DCF!$B$8</f>
        <v>0</v>
      </c>
      <c r="L84" s="40">
        <f>-(K84*Baseline_DCF!$B$10)</f>
        <v>0</v>
      </c>
      <c r="M84" s="37">
        <f>-Baseline_DCF!$B$15*Baseline_DCF!$B$24*E84*(1+Baseline_DCF!$B$16)^A84</f>
        <v>0</v>
      </c>
      <c r="N84" s="37">
        <f>M84*Baseline_DCF!$B$10</f>
        <v>0</v>
      </c>
      <c r="O84" s="37">
        <f>-E84*Baseline_DCF!$D$23*Baseline_DCF!$B$14*(1+Baseline_DCF!$B$16)^A84</f>
        <v>0</v>
      </c>
      <c r="P84" s="37">
        <f>O84*Baseline_DCF!$B$10</f>
        <v>0</v>
      </c>
      <c r="Q84" s="40">
        <f t="shared" si="4"/>
        <v>0</v>
      </c>
      <c r="R84" s="37">
        <f>-E84*Baseline_DCF!$B$22*(1+Baseline_DCF!$B$18)^(Baseline_DCF!A84)</f>
        <v>0</v>
      </c>
      <c r="S84" s="37">
        <f>-R84*Baseline_DCF!$B$10</f>
        <v>0</v>
      </c>
      <c r="T84" s="40">
        <f t="shared" si="5"/>
        <v>0</v>
      </c>
      <c r="U84" s="40">
        <f t="shared" si="6"/>
        <v>0</v>
      </c>
      <c r="V84" s="38">
        <f t="shared" si="1"/>
        <v>0</v>
      </c>
      <c r="W84" s="40">
        <f t="shared" si="2"/>
        <v>0</v>
      </c>
    </row>
    <row r="85" spans="1:23" ht="14.4" x14ac:dyDescent="0.3">
      <c r="A85" s="35">
        <f t="shared" si="3"/>
        <v>36</v>
      </c>
      <c r="B85" s="44">
        <f>1/(1+Baseline_DCF!$B$9)^A85</f>
        <v>3.2349184307606652E-2</v>
      </c>
      <c r="C85" s="36">
        <f>IF(A85&lt;(Baseline_DCF!$B$7+1),1,0)</f>
        <v>0</v>
      </c>
      <c r="D85" s="36">
        <f>IF(A85&lt;(Baseline_DCF!$B$11+1),1,0)</f>
        <v>0</v>
      </c>
      <c r="E85" s="36">
        <f>IF(A85&lt;(Baseline_DCF!$B$12+1),1,0)</f>
        <v>0</v>
      </c>
      <c r="F85" s="37">
        <f xml:space="preserve"> -Baseline_DCF!$B$33*D85</f>
        <v>0</v>
      </c>
      <c r="G85" s="40">
        <f>-F85*Baseline_DCF!$B$10</f>
        <v>0</v>
      </c>
      <c r="H85" s="40">
        <f>-Baseline_DCF!$B$29*C85</f>
        <v>0</v>
      </c>
      <c r="I85" s="37">
        <f t="shared" si="8"/>
        <v>0</v>
      </c>
      <c r="J85" s="37">
        <f t="shared" si="0"/>
        <v>0</v>
      </c>
      <c r="K85" s="37">
        <f>-I85*Baseline_DCF!$B$8</f>
        <v>0</v>
      </c>
      <c r="L85" s="40">
        <f>-(K85*Baseline_DCF!$B$10)</f>
        <v>0</v>
      </c>
      <c r="M85" s="37">
        <f>-Baseline_DCF!$B$15*Baseline_DCF!$B$24*E85*(1+Baseline_DCF!$B$16)^A85</f>
        <v>0</v>
      </c>
      <c r="N85" s="37">
        <f>M85*Baseline_DCF!$B$10</f>
        <v>0</v>
      </c>
      <c r="O85" s="37">
        <f>-E85*Baseline_DCF!$D$23*Baseline_DCF!$B$14*(1+Baseline_DCF!$B$16)^A85</f>
        <v>0</v>
      </c>
      <c r="P85" s="37">
        <f>O85*Baseline_DCF!$B$10</f>
        <v>0</v>
      </c>
      <c r="Q85" s="40">
        <f t="shared" si="4"/>
        <v>0</v>
      </c>
      <c r="R85" s="37">
        <f>-E85*Baseline_DCF!$B$22*(1+Baseline_DCF!$B$18)^(Baseline_DCF!A85)</f>
        <v>0</v>
      </c>
      <c r="S85" s="37">
        <f>-R85*Baseline_DCF!$B$10</f>
        <v>0</v>
      </c>
      <c r="T85" s="40">
        <f t="shared" si="5"/>
        <v>0</v>
      </c>
      <c r="U85" s="40">
        <f t="shared" si="6"/>
        <v>0</v>
      </c>
      <c r="V85" s="38">
        <f t="shared" si="1"/>
        <v>0</v>
      </c>
      <c r="W85" s="40">
        <f t="shared" si="2"/>
        <v>0</v>
      </c>
    </row>
    <row r="86" spans="1:23" ht="14.4" x14ac:dyDescent="0.3">
      <c r="A86" s="35">
        <f t="shared" si="3"/>
        <v>37</v>
      </c>
      <c r="B86" s="44">
        <f>1/(1+Baseline_DCF!$B$9)^A86</f>
        <v>2.94083493705515E-2</v>
      </c>
      <c r="C86" s="36">
        <f>IF(A86&lt;(Baseline_DCF!$B$7+1),1,0)</f>
        <v>0</v>
      </c>
      <c r="D86" s="36">
        <f>IF(A86&lt;(Baseline_DCF!$B$11+1),1,0)</f>
        <v>0</v>
      </c>
      <c r="E86" s="36">
        <f>IF(A86&lt;(Baseline_DCF!$B$12+1),1,0)</f>
        <v>0</v>
      </c>
      <c r="F86" s="37">
        <f xml:space="preserve"> -Baseline_DCF!$B$33*D86</f>
        <v>0</v>
      </c>
      <c r="G86" s="40">
        <f>-F86*Baseline_DCF!$B$10</f>
        <v>0</v>
      </c>
      <c r="H86" s="40">
        <f>-Baseline_DCF!$B$29*C86</f>
        <v>0</v>
      </c>
      <c r="I86" s="37">
        <f t="shared" si="8"/>
        <v>0</v>
      </c>
      <c r="J86" s="37">
        <f t="shared" si="0"/>
        <v>0</v>
      </c>
      <c r="K86" s="37">
        <f>-I86*Baseline_DCF!$B$8</f>
        <v>0</v>
      </c>
      <c r="L86" s="40">
        <f>-(K86*Baseline_DCF!$B$10)</f>
        <v>0</v>
      </c>
      <c r="M86" s="37">
        <f>-Baseline_DCF!$B$15*Baseline_DCF!$B$24*E86*(1+Baseline_DCF!$B$16)^A86</f>
        <v>0</v>
      </c>
      <c r="N86" s="37">
        <f>M86*Baseline_DCF!$B$10</f>
        <v>0</v>
      </c>
      <c r="O86" s="37">
        <f>-E86*Baseline_DCF!$D$23*Baseline_DCF!$B$14*(1+Baseline_DCF!$B$16)^A86</f>
        <v>0</v>
      </c>
      <c r="P86" s="37">
        <f>O86*Baseline_DCF!$B$10</f>
        <v>0</v>
      </c>
      <c r="Q86" s="40">
        <f t="shared" si="4"/>
        <v>0</v>
      </c>
      <c r="R86" s="37">
        <f>-E86*Baseline_DCF!$B$22*(1+Baseline_DCF!$B$18)^(Baseline_DCF!A86)</f>
        <v>0</v>
      </c>
      <c r="S86" s="37">
        <f>-R86*Baseline_DCF!$B$10</f>
        <v>0</v>
      </c>
      <c r="T86" s="40">
        <f t="shared" si="5"/>
        <v>0</v>
      </c>
      <c r="U86" s="40">
        <f t="shared" si="6"/>
        <v>0</v>
      </c>
      <c r="V86" s="38">
        <f t="shared" si="1"/>
        <v>0</v>
      </c>
      <c r="W86" s="40">
        <f t="shared" si="2"/>
        <v>0</v>
      </c>
    </row>
    <row r="87" spans="1:23" ht="14.4" x14ac:dyDescent="0.3">
      <c r="A87" s="35">
        <f t="shared" si="3"/>
        <v>38</v>
      </c>
      <c r="B87" s="44">
        <f>1/(1+Baseline_DCF!$B$9)^A87</f>
        <v>2.6734863064137721E-2</v>
      </c>
      <c r="C87" s="36">
        <f>IF(A87&lt;(Baseline_DCF!$B$7+1),1,0)</f>
        <v>0</v>
      </c>
      <c r="D87" s="36">
        <f>IF(A87&lt;(Baseline_DCF!$B$11+1),1,0)</f>
        <v>0</v>
      </c>
      <c r="E87" s="36">
        <f>IF(A87&lt;(Baseline_DCF!$B$12+1),1,0)</f>
        <v>0</v>
      </c>
      <c r="F87" s="37">
        <f xml:space="preserve"> -Baseline_DCF!$B$33*D87</f>
        <v>0</v>
      </c>
      <c r="G87" s="40">
        <f>-F87*Baseline_DCF!$B$10</f>
        <v>0</v>
      </c>
      <c r="H87" s="40">
        <f>-Baseline_DCF!$B$29*C87</f>
        <v>0</v>
      </c>
      <c r="I87" s="37">
        <f t="shared" si="8"/>
        <v>0</v>
      </c>
      <c r="J87" s="37">
        <f t="shared" si="0"/>
        <v>0</v>
      </c>
      <c r="K87" s="37">
        <f>-I87*Baseline_DCF!$B$8</f>
        <v>0</v>
      </c>
      <c r="L87" s="40">
        <f>-(K87*Baseline_DCF!$B$10)</f>
        <v>0</v>
      </c>
      <c r="M87" s="37">
        <f>-Baseline_DCF!$B$15*Baseline_DCF!$B$24*E87*(1+Baseline_DCF!$B$16)^A87</f>
        <v>0</v>
      </c>
      <c r="N87" s="37">
        <f>M87*Baseline_DCF!$B$10</f>
        <v>0</v>
      </c>
      <c r="O87" s="37">
        <f>-E87*Baseline_DCF!$D$23*Baseline_DCF!$B$14*(1+Baseline_DCF!$B$16)^A87</f>
        <v>0</v>
      </c>
      <c r="P87" s="37">
        <f>O87*Baseline_DCF!$B$10</f>
        <v>0</v>
      </c>
      <c r="Q87" s="40">
        <f t="shared" si="4"/>
        <v>0</v>
      </c>
      <c r="R87" s="37">
        <f>-E87*Baseline_DCF!$B$22*(1+Baseline_DCF!$B$18)^(Baseline_DCF!A87)</f>
        <v>0</v>
      </c>
      <c r="S87" s="37">
        <f>-R87*Baseline_DCF!$B$10</f>
        <v>0</v>
      </c>
      <c r="T87" s="40">
        <f t="shared" si="5"/>
        <v>0</v>
      </c>
      <c r="U87" s="40">
        <f t="shared" si="6"/>
        <v>0</v>
      </c>
      <c r="V87" s="38">
        <f t="shared" si="1"/>
        <v>0</v>
      </c>
      <c r="W87" s="40">
        <f t="shared" si="2"/>
        <v>0</v>
      </c>
    </row>
    <row r="88" spans="1:23" ht="14.4" x14ac:dyDescent="0.3">
      <c r="A88" s="35">
        <f t="shared" si="3"/>
        <v>39</v>
      </c>
      <c r="B88" s="44">
        <f>1/(1+Baseline_DCF!$B$9)^A88</f>
        <v>2.4304420967397926E-2</v>
      </c>
      <c r="C88" s="36">
        <f>IF(A88&lt;(Baseline_DCF!$B$7+1),1,0)</f>
        <v>0</v>
      </c>
      <c r="D88" s="36">
        <f>IF(A88&lt;(Baseline_DCF!$B$11+1),1,0)</f>
        <v>0</v>
      </c>
      <c r="E88" s="36">
        <f>IF(A88&lt;(Baseline_DCF!$B$12+1),1,0)</f>
        <v>0</v>
      </c>
      <c r="F88" s="37">
        <f xml:space="preserve"> -Baseline_DCF!$B$33*D88</f>
        <v>0</v>
      </c>
      <c r="G88" s="40">
        <f>-F88*Baseline_DCF!$B$10</f>
        <v>0</v>
      </c>
      <c r="H88" s="40">
        <f>-Baseline_DCF!$B$29*C88</f>
        <v>0</v>
      </c>
      <c r="I88" s="37">
        <f t="shared" si="8"/>
        <v>0</v>
      </c>
      <c r="J88" s="37">
        <f t="shared" si="0"/>
        <v>0</v>
      </c>
      <c r="K88" s="37">
        <f>-I88*Baseline_DCF!$B$8</f>
        <v>0</v>
      </c>
      <c r="L88" s="40">
        <f>-(K88*Baseline_DCF!$B$10)</f>
        <v>0</v>
      </c>
      <c r="M88" s="37">
        <f>-Baseline_DCF!$B$15*Baseline_DCF!$B$24*E88*(1+Baseline_DCF!$B$16)^A88</f>
        <v>0</v>
      </c>
      <c r="N88" s="37">
        <f>M88*Baseline_DCF!$B$10</f>
        <v>0</v>
      </c>
      <c r="O88" s="37">
        <f>-E88*Baseline_DCF!$D$23*Baseline_DCF!$B$14*(1+Baseline_DCF!$B$16)^A88</f>
        <v>0</v>
      </c>
      <c r="P88" s="37">
        <f>O88*Baseline_DCF!$B$10</f>
        <v>0</v>
      </c>
      <c r="Q88" s="40">
        <f t="shared" si="4"/>
        <v>0</v>
      </c>
      <c r="R88" s="37">
        <f>-E88*Baseline_DCF!$B$22*(1+Baseline_DCF!$B$18)^(Baseline_DCF!A88)</f>
        <v>0</v>
      </c>
      <c r="S88" s="37">
        <f>-R88*Baseline_DCF!$B$10</f>
        <v>0</v>
      </c>
      <c r="T88" s="40">
        <f t="shared" si="5"/>
        <v>0</v>
      </c>
      <c r="U88" s="40">
        <f t="shared" si="6"/>
        <v>0</v>
      </c>
      <c r="V88" s="38">
        <f t="shared" si="1"/>
        <v>0</v>
      </c>
      <c r="W88" s="40">
        <f t="shared" si="2"/>
        <v>0</v>
      </c>
    </row>
    <row r="89" spans="1:23" ht="14.4" x14ac:dyDescent="0.3">
      <c r="A89" s="35">
        <f t="shared" si="3"/>
        <v>40</v>
      </c>
      <c r="B89" s="44">
        <f>1/(1+Baseline_DCF!$B$9)^A89</f>
        <v>2.2094928152179935E-2</v>
      </c>
      <c r="C89" s="36">
        <f>IF(A89&lt;(Baseline_DCF!$B$7+1),1,0)</f>
        <v>0</v>
      </c>
      <c r="D89" s="36">
        <f>IF(A89&lt;(Baseline_DCF!$B$11+1),1,0)</f>
        <v>0</v>
      </c>
      <c r="E89" s="36">
        <f>IF(A89&lt;(Baseline_DCF!$B$12+1),1,0)</f>
        <v>0</v>
      </c>
      <c r="F89" s="37">
        <f xml:space="preserve"> -Baseline_DCF!$B$33*D89</f>
        <v>0</v>
      </c>
      <c r="G89" s="40">
        <f>-F89*Baseline_DCF!$B$10</f>
        <v>0</v>
      </c>
      <c r="H89" s="40">
        <f>-Baseline_DCF!$B$29*C89</f>
        <v>0</v>
      </c>
      <c r="I89" s="37">
        <f t="shared" si="8"/>
        <v>0</v>
      </c>
      <c r="J89" s="37">
        <f t="shared" si="0"/>
        <v>0</v>
      </c>
      <c r="K89" s="37">
        <f>-I89*Baseline_DCF!$B$8</f>
        <v>0</v>
      </c>
      <c r="L89" s="40">
        <f>-(K89*Baseline_DCF!$B$10)</f>
        <v>0</v>
      </c>
      <c r="M89" s="37">
        <f>-Baseline_DCF!$B$15*Baseline_DCF!$B$24*E89*(1+Baseline_DCF!$B$16)^A89</f>
        <v>0</v>
      </c>
      <c r="N89" s="37">
        <f>M89*Baseline_DCF!$B$10</f>
        <v>0</v>
      </c>
      <c r="O89" s="37">
        <f>-E89*Baseline_DCF!$D$23*Baseline_DCF!$B$14*(1+Baseline_DCF!$B$16)^A89</f>
        <v>0</v>
      </c>
      <c r="P89" s="37">
        <f>O89*Baseline_DCF!$B$10</f>
        <v>0</v>
      </c>
      <c r="Q89" s="40">
        <f t="shared" si="4"/>
        <v>0</v>
      </c>
      <c r="R89" s="37">
        <f>-E89*Baseline_DCF!$B$22*(1+Baseline_DCF!$B$18)^(Baseline_DCF!A89)</f>
        <v>0</v>
      </c>
      <c r="S89" s="37">
        <f>-R89*Baseline_DCF!$B$10</f>
        <v>0</v>
      </c>
      <c r="T89" s="40">
        <f t="shared" si="5"/>
        <v>0</v>
      </c>
      <c r="U89" s="40">
        <f t="shared" si="6"/>
        <v>0</v>
      </c>
      <c r="V89" s="38">
        <f t="shared" si="1"/>
        <v>0</v>
      </c>
      <c r="W89" s="40">
        <f t="shared" si="2"/>
        <v>0</v>
      </c>
    </row>
  </sheetData>
  <pageMargins left="0.75" right="0.75" top="1" bottom="1" header="0.5" footer="0.5"/>
  <pageSetup paperSize="9" orientation="portrait" r:id="rId1"/>
  <headerFooter alignWithMargins="0"/>
  <drawing r:id="rId2"/>
  <legacy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AC132"/>
  <sheetViews>
    <sheetView topLeftCell="AA49" workbookViewId="0">
      <selection activeCell="AD91" sqref="AD91"/>
    </sheetView>
  </sheetViews>
  <sheetFormatPr defaultColWidth="9.109375" defaultRowHeight="13.2" x14ac:dyDescent="0.25"/>
  <cols>
    <col min="1" max="1" width="41.33203125" style="4" customWidth="1"/>
    <col min="2" max="27" width="12.6640625" style="4" customWidth="1"/>
    <col min="28" max="28" width="13.5546875" style="4" customWidth="1"/>
    <col min="29" max="52" width="12.6640625" style="4" customWidth="1"/>
    <col min="53" max="16384" width="9.109375" style="4"/>
  </cols>
  <sheetData>
    <row r="1" spans="1:9" ht="19.8" x14ac:dyDescent="0.25">
      <c r="A1" s="80" t="s">
        <v>118</v>
      </c>
      <c r="B1" s="330" t="str">
        <f>Bioenergy!A2</f>
        <v>Bioenergy</v>
      </c>
      <c r="C1" s="330"/>
      <c r="D1" s="330"/>
      <c r="E1" s="330"/>
      <c r="F1" s="330" t="str">
        <f>Bioenergy!A14</f>
        <v>Gas fired backup</v>
      </c>
      <c r="G1" s="330"/>
      <c r="H1" s="330"/>
      <c r="I1" s="330"/>
    </row>
    <row r="2" spans="1:9" x14ac:dyDescent="0.25">
      <c r="A2" s="5" t="s">
        <v>5</v>
      </c>
      <c r="B2" s="61">
        <f>Bioenergy!C4</f>
        <v>5000</v>
      </c>
      <c r="C2" s="6" t="s">
        <v>6</v>
      </c>
      <c r="D2" s="6"/>
      <c r="E2" s="6"/>
      <c r="F2" s="61">
        <f>Bioenergy!C15</f>
        <v>5000</v>
      </c>
      <c r="G2" s="6" t="s">
        <v>6</v>
      </c>
      <c r="H2" s="6"/>
      <c r="I2" s="6"/>
    </row>
    <row r="3" spans="1:9" x14ac:dyDescent="0.25">
      <c r="A3" s="5" t="s">
        <v>7</v>
      </c>
      <c r="B3" s="62">
        <f>Bioenergy!C3*Bioenergy!H7/(Bioenergy!C4*8760*0.0036)</f>
        <v>0.4756468797564688</v>
      </c>
      <c r="C3" s="6"/>
      <c r="D3" s="6"/>
      <c r="E3" s="6"/>
      <c r="F3" s="62">
        <f>IFERROR(('General Parameters'!C3-D22)/(F2*8760)/0.0036,0)</f>
        <v>0.4756468797564688</v>
      </c>
      <c r="G3" s="6"/>
      <c r="H3" s="6"/>
      <c r="I3" s="6"/>
    </row>
    <row r="4" spans="1:9" x14ac:dyDescent="0.25">
      <c r="A4" s="5" t="s">
        <v>8</v>
      </c>
      <c r="B4" s="63">
        <f>IFERROR(Bioenergy!C6/Bioenergy!C4,0)</f>
        <v>1637.9602799008203</v>
      </c>
      <c r="C4" s="6" t="s">
        <v>9</v>
      </c>
      <c r="D4" s="6"/>
      <c r="E4" s="6"/>
      <c r="F4" s="63">
        <f>IFERROR(Bioenergy!C17/Bioenergy!C15,0)</f>
        <v>242.87299999999999</v>
      </c>
      <c r="G4" s="6" t="s">
        <v>9</v>
      </c>
      <c r="H4" s="6"/>
      <c r="I4" s="6"/>
    </row>
    <row r="5" spans="1:9" x14ac:dyDescent="0.25">
      <c r="A5" s="5" t="s">
        <v>10</v>
      </c>
      <c r="B5" s="84">
        <f>'General Parameters'!C7</f>
        <v>0.6</v>
      </c>
      <c r="C5" s="6" t="s">
        <v>1</v>
      </c>
      <c r="D5" s="6"/>
      <c r="E5" s="6"/>
      <c r="F5" s="18">
        <f>'General Parameters'!C7</f>
        <v>0.6</v>
      </c>
      <c r="G5" s="6" t="s">
        <v>1</v>
      </c>
      <c r="H5" s="6"/>
      <c r="I5" s="6"/>
    </row>
    <row r="6" spans="1:9" x14ac:dyDescent="0.25">
      <c r="A6" s="5" t="s">
        <v>11</v>
      </c>
      <c r="B6" s="18">
        <f>'General Parameters'!C8</f>
        <v>10</v>
      </c>
      <c r="C6" s="6" t="s">
        <v>12</v>
      </c>
      <c r="D6" s="6"/>
      <c r="E6" s="6"/>
      <c r="F6" s="18">
        <f>'General Parameters'!C8</f>
        <v>10</v>
      </c>
      <c r="G6" s="6" t="s">
        <v>12</v>
      </c>
      <c r="H6" s="6"/>
      <c r="I6" s="6"/>
    </row>
    <row r="7" spans="1:9" ht="14.4" x14ac:dyDescent="0.3">
      <c r="A7" s="5" t="s">
        <v>13</v>
      </c>
      <c r="B7" s="66">
        <f>'General Parameters'!C9</f>
        <v>7.4999999999999997E-2</v>
      </c>
      <c r="C7" s="6" t="s">
        <v>14</v>
      </c>
      <c r="D7" s="6"/>
      <c r="E7" s="6"/>
      <c r="F7" s="66">
        <f>'General Parameters'!C9</f>
        <v>7.4999999999999997E-2</v>
      </c>
      <c r="G7" s="6" t="s">
        <v>14</v>
      </c>
      <c r="H7" s="6"/>
      <c r="I7" s="6"/>
    </row>
    <row r="8" spans="1:9" ht="14.4" x14ac:dyDescent="0.3">
      <c r="A8" s="5" t="s">
        <v>15</v>
      </c>
      <c r="B8" s="66">
        <f>'General Parameters'!C10</f>
        <v>0.1</v>
      </c>
      <c r="C8" s="6" t="s">
        <v>14</v>
      </c>
      <c r="D8" s="6"/>
      <c r="E8" s="6"/>
      <c r="F8" s="66">
        <f>'General Parameters'!C10</f>
        <v>0.1</v>
      </c>
      <c r="G8" s="6" t="s">
        <v>14</v>
      </c>
      <c r="H8" s="6"/>
      <c r="I8" s="6"/>
    </row>
    <row r="9" spans="1:9" ht="14.4" x14ac:dyDescent="0.3">
      <c r="A9" s="5" t="s">
        <v>16</v>
      </c>
      <c r="B9" s="65">
        <f>'General Parameters'!C11</f>
        <v>0</v>
      </c>
      <c r="C9" s="6" t="s">
        <v>14</v>
      </c>
      <c r="D9" s="6"/>
      <c r="E9" s="6"/>
      <c r="F9" s="65">
        <f>'General Parameters'!C11</f>
        <v>0</v>
      </c>
      <c r="G9" s="6" t="s">
        <v>14</v>
      </c>
      <c r="H9" s="6"/>
      <c r="I9" s="6"/>
    </row>
    <row r="10" spans="1:9" ht="14.4" x14ac:dyDescent="0.3">
      <c r="A10" s="5" t="s">
        <v>23</v>
      </c>
      <c r="B10" s="66">
        <f>'General Parameters'!C12</f>
        <v>2.5000000000000001E-2</v>
      </c>
      <c r="C10" s="6" t="s">
        <v>14</v>
      </c>
      <c r="D10" s="6"/>
      <c r="E10" s="6"/>
      <c r="F10" s="66">
        <f>'General Parameters'!C12</f>
        <v>2.5000000000000001E-2</v>
      </c>
      <c r="G10" s="6" t="s">
        <v>14</v>
      </c>
      <c r="H10" s="6"/>
      <c r="I10" s="6"/>
    </row>
    <row r="11" spans="1:9" x14ac:dyDescent="0.25">
      <c r="A11" s="5" t="s">
        <v>17</v>
      </c>
      <c r="B11" s="18">
        <f>'General Parameters'!C13</f>
        <v>15</v>
      </c>
      <c r="C11" s="6" t="s">
        <v>0</v>
      </c>
      <c r="D11" s="6"/>
      <c r="E11" s="6"/>
      <c r="F11" s="18">
        <f>'General Parameters'!C13</f>
        <v>15</v>
      </c>
      <c r="G11" s="6" t="s">
        <v>0</v>
      </c>
      <c r="H11" s="6"/>
      <c r="I11" s="6"/>
    </row>
    <row r="12" spans="1:9" x14ac:dyDescent="0.25">
      <c r="A12" s="5" t="s">
        <v>18</v>
      </c>
      <c r="B12" s="18">
        <f>'General Parameters'!C14</f>
        <v>20</v>
      </c>
      <c r="C12" s="6" t="s">
        <v>0</v>
      </c>
      <c r="D12" s="6"/>
      <c r="E12" s="6"/>
      <c r="F12" s="18">
        <f>'General Parameters'!C14</f>
        <v>20</v>
      </c>
      <c r="G12" s="6" t="s">
        <v>0</v>
      </c>
      <c r="H12" s="6"/>
      <c r="I12" s="6"/>
    </row>
    <row r="13" spans="1:9" ht="14.4" x14ac:dyDescent="0.3">
      <c r="A13" s="7" t="s">
        <v>19</v>
      </c>
      <c r="B13" s="64">
        <f>'General Parameters'!C15</f>
        <v>0.05</v>
      </c>
      <c r="C13" s="6"/>
      <c r="D13" s="6"/>
      <c r="E13" s="6"/>
      <c r="F13" s="64">
        <f>'General Parameters'!C15</f>
        <v>0.05</v>
      </c>
      <c r="G13" s="6"/>
      <c r="H13" s="6"/>
      <c r="I13" s="6"/>
    </row>
    <row r="14" spans="1:9" x14ac:dyDescent="0.25">
      <c r="A14" s="5" t="s">
        <v>37</v>
      </c>
      <c r="B14" s="18">
        <f>Bioenergy!C7</f>
        <v>0</v>
      </c>
      <c r="C14" s="6" t="s">
        <v>21</v>
      </c>
      <c r="D14" s="8">
        <f>B14*0.0036</f>
        <v>0</v>
      </c>
      <c r="E14" s="6" t="s">
        <v>20</v>
      </c>
      <c r="F14" s="18">
        <f>Bioenergy!C18</f>
        <v>0</v>
      </c>
      <c r="G14" s="6" t="s">
        <v>21</v>
      </c>
      <c r="H14" s="8">
        <f>F14*0.0036</f>
        <v>0</v>
      </c>
      <c r="I14" s="6" t="s">
        <v>20</v>
      </c>
    </row>
    <row r="15" spans="1:9" ht="14.4" x14ac:dyDescent="0.3">
      <c r="A15" s="67" t="s">
        <v>38</v>
      </c>
      <c r="B15" s="66">
        <f>Bioenergy!C8</f>
        <v>0.02</v>
      </c>
      <c r="C15" s="6" t="s">
        <v>14</v>
      </c>
      <c r="D15" s="6"/>
      <c r="E15" s="6"/>
      <c r="F15" s="66">
        <f>Bioenergy!C19</f>
        <v>0.02</v>
      </c>
      <c r="G15" s="6" t="s">
        <v>14</v>
      </c>
      <c r="H15" s="6"/>
      <c r="I15" s="6"/>
    </row>
    <row r="16" spans="1:9" x14ac:dyDescent="0.25">
      <c r="A16" s="5" t="s">
        <v>24</v>
      </c>
      <c r="B16" s="18">
        <f>Bioenergy!C10</f>
        <v>5</v>
      </c>
      <c r="C16" s="6" t="s">
        <v>21</v>
      </c>
      <c r="D16" s="6">
        <f>B16*0.0036</f>
        <v>1.7999999999999999E-2</v>
      </c>
      <c r="E16" s="6" t="s">
        <v>20</v>
      </c>
      <c r="F16" s="18">
        <f>Bioenergy!C21</f>
        <v>10</v>
      </c>
      <c r="G16" s="6" t="s">
        <v>21</v>
      </c>
      <c r="H16" s="6">
        <f>F16*0.0036</f>
        <v>3.5999999999999997E-2</v>
      </c>
      <c r="I16" s="6" t="s">
        <v>20</v>
      </c>
    </row>
    <row r="17" spans="1:13" ht="14.4" x14ac:dyDescent="0.3">
      <c r="A17" s="5" t="s">
        <v>25</v>
      </c>
      <c r="B17" s="66">
        <f>Bioenergy!C11</f>
        <v>2.5000000000000001E-2</v>
      </c>
      <c r="C17" s="6"/>
      <c r="D17" s="6"/>
      <c r="E17" s="6"/>
      <c r="F17" s="66">
        <f>Bioenergy!C22</f>
        <v>2.5000000000000001E-2</v>
      </c>
      <c r="G17" s="6"/>
      <c r="H17" s="6"/>
      <c r="I17" s="6"/>
    </row>
    <row r="18" spans="1:13" ht="14.4" x14ac:dyDescent="0.3">
      <c r="A18" s="5" t="s">
        <v>39</v>
      </c>
      <c r="B18" s="95">
        <f>Bioenergy!C12</f>
        <v>0.8</v>
      </c>
      <c r="C18" s="12"/>
      <c r="D18" s="12"/>
      <c r="E18" s="12"/>
      <c r="F18" s="95">
        <f>Bioenergy!C23</f>
        <v>0.8</v>
      </c>
      <c r="G18" s="12"/>
      <c r="H18" s="12"/>
      <c r="I18" s="12"/>
    </row>
    <row r="19" spans="1:13" ht="19.8" x14ac:dyDescent="0.25">
      <c r="A19" s="80" t="s">
        <v>115</v>
      </c>
      <c r="B19" s="330" t="str">
        <f>B1</f>
        <v>Bioenergy</v>
      </c>
      <c r="C19" s="330"/>
      <c r="D19" s="330"/>
      <c r="E19" s="330"/>
      <c r="F19" s="330" t="str">
        <f>F1</f>
        <v>Gas fired backup</v>
      </c>
      <c r="G19" s="330"/>
      <c r="H19" s="330"/>
      <c r="I19" s="330"/>
      <c r="J19" s="330" t="s">
        <v>116</v>
      </c>
      <c r="K19" s="330"/>
      <c r="L19" s="330"/>
      <c r="M19" s="330"/>
    </row>
    <row r="20" spans="1:13" x14ac:dyDescent="0.25">
      <c r="A20" s="5" t="s">
        <v>28</v>
      </c>
      <c r="B20" s="86">
        <f>B22/B18</f>
        <v>26041666.666666668</v>
      </c>
      <c r="C20" s="6" t="s">
        <v>29</v>
      </c>
      <c r="D20" s="86">
        <f>B20*0.0036</f>
        <v>93750</v>
      </c>
      <c r="E20" s="6"/>
      <c r="F20" s="86">
        <f>F22/F18</f>
        <v>26041666.666666668</v>
      </c>
      <c r="G20" s="6" t="s">
        <v>29</v>
      </c>
      <c r="H20" s="86">
        <f>F20*0.0036</f>
        <v>93750</v>
      </c>
      <c r="I20" s="6"/>
      <c r="J20" s="86">
        <f t="shared" ref="J20:J26" si="0">B20+F20</f>
        <v>52083333.333333336</v>
      </c>
      <c r="K20" s="6" t="s">
        <v>29</v>
      </c>
      <c r="L20" s="86">
        <f>J20*0.0036</f>
        <v>187500</v>
      </c>
      <c r="M20" s="6"/>
    </row>
    <row r="21" spans="1:13" x14ac:dyDescent="0.25">
      <c r="A21" s="5" t="s">
        <v>30</v>
      </c>
      <c r="B21" s="85">
        <f>B20*B16*0.0036</f>
        <v>468750</v>
      </c>
      <c r="C21" s="6"/>
      <c r="D21" s="6"/>
      <c r="E21" s="6"/>
      <c r="F21" s="85">
        <f>F20*F16*0.0036</f>
        <v>937500</v>
      </c>
      <c r="G21" s="6"/>
      <c r="H21" s="6"/>
      <c r="I21" s="6"/>
      <c r="J21" s="85">
        <f t="shared" si="0"/>
        <v>1406250</v>
      </c>
      <c r="K21" s="6"/>
      <c r="L21" s="6"/>
      <c r="M21" s="6"/>
    </row>
    <row r="22" spans="1:13" x14ac:dyDescent="0.25">
      <c r="A22" s="5" t="s">
        <v>31</v>
      </c>
      <c r="B22" s="86">
        <f>B2*B3*365*24</f>
        <v>20833333.333333336</v>
      </c>
      <c r="C22" s="6" t="s">
        <v>29</v>
      </c>
      <c r="D22" s="6">
        <f>B22*0.0036</f>
        <v>75000</v>
      </c>
      <c r="E22" s="6" t="s">
        <v>32</v>
      </c>
      <c r="F22" s="86">
        <f>F2*F3*365*24</f>
        <v>20833333.333333336</v>
      </c>
      <c r="G22" s="6" t="s">
        <v>29</v>
      </c>
      <c r="H22" s="86">
        <f>F22*0.0036</f>
        <v>75000</v>
      </c>
      <c r="I22" s="6" t="s">
        <v>32</v>
      </c>
      <c r="J22" s="86">
        <f t="shared" si="0"/>
        <v>41666666.666666672</v>
      </c>
      <c r="K22" s="6" t="s">
        <v>29</v>
      </c>
      <c r="L22" s="86">
        <f>J22*0.0036</f>
        <v>150000</v>
      </c>
      <c r="M22" s="6" t="s">
        <v>32</v>
      </c>
    </row>
    <row r="23" spans="1:13" x14ac:dyDescent="0.25">
      <c r="A23" s="5" t="s">
        <v>33</v>
      </c>
      <c r="B23" s="85">
        <f>B4*B2</f>
        <v>8189801.3995041018</v>
      </c>
      <c r="C23" s="6" t="s">
        <v>34</v>
      </c>
      <c r="D23" s="6"/>
      <c r="E23" s="6"/>
      <c r="F23" s="85">
        <f>F4*F2</f>
        <v>1214365</v>
      </c>
      <c r="G23" s="6" t="s">
        <v>34</v>
      </c>
      <c r="H23" s="6"/>
      <c r="I23" s="6"/>
      <c r="J23" s="85">
        <f t="shared" si="0"/>
        <v>9404166.3995041028</v>
      </c>
      <c r="K23" s="6" t="s">
        <v>34</v>
      </c>
      <c r="L23" s="6"/>
      <c r="M23" s="6"/>
    </row>
    <row r="24" spans="1:13" x14ac:dyDescent="0.25">
      <c r="A24" s="5" t="s">
        <v>40</v>
      </c>
      <c r="B24" s="85">
        <f>B13*B23</f>
        <v>409490.06997520512</v>
      </c>
      <c r="C24" s="6" t="s">
        <v>34</v>
      </c>
      <c r="D24" s="6"/>
      <c r="E24" s="6"/>
      <c r="F24" s="85">
        <f>F13*F23</f>
        <v>60718.25</v>
      </c>
      <c r="G24" s="6" t="s">
        <v>34</v>
      </c>
      <c r="H24" s="6"/>
      <c r="I24" s="6"/>
      <c r="J24" s="85">
        <f t="shared" si="0"/>
        <v>470208.31997520512</v>
      </c>
      <c r="K24" s="6" t="s">
        <v>34</v>
      </c>
      <c r="L24" s="6"/>
      <c r="M24" s="6"/>
    </row>
    <row r="25" spans="1:13" x14ac:dyDescent="0.25">
      <c r="A25" s="5" t="s">
        <v>41</v>
      </c>
      <c r="B25" s="85">
        <f>B23*B5</f>
        <v>4913880.8397024609</v>
      </c>
      <c r="C25" s="6" t="s">
        <v>34</v>
      </c>
      <c r="D25" s="6"/>
      <c r="E25" s="6"/>
      <c r="F25" s="85">
        <f>F23*F5</f>
        <v>728619</v>
      </c>
      <c r="G25" s="6" t="s">
        <v>34</v>
      </c>
      <c r="H25" s="6"/>
      <c r="I25" s="6"/>
      <c r="J25" s="85">
        <f t="shared" si="0"/>
        <v>5642499.8397024609</v>
      </c>
      <c r="K25" s="6" t="s">
        <v>34</v>
      </c>
      <c r="L25" s="6"/>
      <c r="M25" s="6"/>
    </row>
    <row r="26" spans="1:13" x14ac:dyDescent="0.25">
      <c r="A26" s="5" t="s">
        <v>42</v>
      </c>
      <c r="B26" s="85">
        <f>B23-B25</f>
        <v>3275920.5598016409</v>
      </c>
      <c r="C26" s="6" t="s">
        <v>34</v>
      </c>
      <c r="D26" s="6"/>
      <c r="E26" s="6"/>
      <c r="F26" s="85">
        <f>F23-F25</f>
        <v>485746</v>
      </c>
      <c r="G26" s="6" t="s">
        <v>34</v>
      </c>
      <c r="H26" s="6"/>
      <c r="I26" s="6"/>
      <c r="J26" s="85">
        <f t="shared" si="0"/>
        <v>3761666.5598016409</v>
      </c>
      <c r="K26" s="6" t="s">
        <v>34</v>
      </c>
      <c r="L26" s="6"/>
      <c r="M26" s="6"/>
    </row>
    <row r="27" spans="1:13" x14ac:dyDescent="0.25">
      <c r="A27" s="5" t="s">
        <v>43</v>
      </c>
      <c r="B27" s="20">
        <f>(B7*(1+B7)^B6)/((1+B7)^B6-1)</f>
        <v>0.14568592742612235</v>
      </c>
      <c r="C27" s="6" t="s">
        <v>14</v>
      </c>
      <c r="D27" s="6"/>
      <c r="E27" s="6"/>
      <c r="F27" s="20">
        <f>(F7*(1+F7)^F6)/((1+F7)^F6-1)</f>
        <v>0.14568592742612235</v>
      </c>
      <c r="G27" s="6" t="s">
        <v>14</v>
      </c>
      <c r="H27" s="6"/>
      <c r="I27" s="6"/>
      <c r="J27" s="90">
        <f>AVERAGE(B27,F27)</f>
        <v>0.14568592742612235</v>
      </c>
      <c r="K27" s="6" t="s">
        <v>14</v>
      </c>
      <c r="L27" s="6"/>
      <c r="M27" s="6"/>
    </row>
    <row r="28" spans="1:13" x14ac:dyDescent="0.25">
      <c r="A28" s="5" t="s">
        <v>44</v>
      </c>
      <c r="B28" s="85">
        <f>B27*B25</f>
        <v>715883.28739350592</v>
      </c>
      <c r="C28" s="6" t="s">
        <v>45</v>
      </c>
      <c r="D28" s="6"/>
      <c r="E28" s="6"/>
      <c r="F28" s="85">
        <f>F27*F25</f>
        <v>106149.53475529385</v>
      </c>
      <c r="G28" s="6" t="s">
        <v>45</v>
      </c>
      <c r="H28" s="6"/>
      <c r="I28" s="6"/>
      <c r="J28" s="85">
        <f>B28+F28</f>
        <v>822032.82214879978</v>
      </c>
      <c r="K28" s="6" t="s">
        <v>45</v>
      </c>
      <c r="L28" s="6"/>
      <c r="M28" s="6"/>
    </row>
    <row r="29" spans="1:13" x14ac:dyDescent="0.25">
      <c r="A29" s="5" t="s">
        <v>46</v>
      </c>
      <c r="B29" s="20">
        <f>(B8*(1+B8)^B12)/((1+B8)^B12-1)</f>
        <v>0.11745962477254576</v>
      </c>
      <c r="C29" s="6" t="s">
        <v>14</v>
      </c>
      <c r="D29" s="6"/>
      <c r="E29" s="6"/>
      <c r="F29" s="20">
        <f>(F8*(1+F8)^F12)/((1+F8)^F12-1)</f>
        <v>0.11745962477254576</v>
      </c>
      <c r="G29" s="6" t="s">
        <v>14</v>
      </c>
      <c r="H29" s="6"/>
      <c r="I29" s="6"/>
      <c r="J29" s="90">
        <f>AVERAGE(B29,F29)</f>
        <v>0.11745962477254576</v>
      </c>
      <c r="K29" s="6" t="s">
        <v>14</v>
      </c>
      <c r="L29" s="6"/>
      <c r="M29" s="6"/>
    </row>
    <row r="30" spans="1:13" x14ac:dyDescent="0.25">
      <c r="A30" s="5" t="s">
        <v>47</v>
      </c>
      <c r="B30" s="20">
        <f>(1+B8)/(1+B10)-1</f>
        <v>7.317073170731736E-2</v>
      </c>
      <c r="C30" s="6"/>
      <c r="D30" s="6"/>
      <c r="E30" s="6"/>
      <c r="F30" s="20">
        <f>(1+F8)/(1+F10)-1</f>
        <v>7.317073170731736E-2</v>
      </c>
      <c r="G30" s="6"/>
      <c r="H30" s="6"/>
      <c r="I30" s="6"/>
      <c r="J30" s="90">
        <f>AVERAGE(B30,F30)</f>
        <v>7.317073170731736E-2</v>
      </c>
      <c r="K30" s="6"/>
      <c r="L30" s="6"/>
      <c r="M30" s="6"/>
    </row>
    <row r="31" spans="1:13" x14ac:dyDescent="0.25">
      <c r="A31" s="5" t="s">
        <v>48</v>
      </c>
      <c r="B31" s="20">
        <f>(B30*(1+B30)^B12)/((1+B30)^B12-1)</f>
        <v>9.6731649089452268E-2</v>
      </c>
      <c r="C31" s="6"/>
      <c r="D31" s="6"/>
      <c r="E31" s="6"/>
      <c r="F31" s="20">
        <f>(F30*(1+F30)^F12)/((1+F30)^F12-1)</f>
        <v>9.6731649089452268E-2</v>
      </c>
      <c r="G31" s="6"/>
      <c r="H31" s="6"/>
      <c r="I31" s="6"/>
      <c r="J31" s="90">
        <f>AVERAGE(B31,F31)</f>
        <v>9.6731649089452268E-2</v>
      </c>
      <c r="K31" s="6"/>
      <c r="L31" s="6"/>
      <c r="M31" s="6"/>
    </row>
    <row r="32" spans="1:13" x14ac:dyDescent="0.25">
      <c r="A32" s="7" t="s">
        <v>49</v>
      </c>
      <c r="B32" s="19">
        <f>B23/B11</f>
        <v>545986.75996694015</v>
      </c>
      <c r="C32" s="6" t="s">
        <v>34</v>
      </c>
      <c r="D32" s="6"/>
      <c r="E32" s="6"/>
      <c r="F32" s="85">
        <f>F23/F11</f>
        <v>80957.666666666672</v>
      </c>
      <c r="G32" s="6" t="s">
        <v>34</v>
      </c>
      <c r="H32" s="6"/>
      <c r="I32" s="6"/>
      <c r="J32" s="85">
        <f>B32+F32</f>
        <v>626944.42663360678</v>
      </c>
      <c r="K32" s="6" t="s">
        <v>34</v>
      </c>
      <c r="L32" s="6"/>
      <c r="M32" s="6"/>
    </row>
    <row r="33" spans="1:29" x14ac:dyDescent="0.25">
      <c r="A33" s="5" t="s">
        <v>50</v>
      </c>
      <c r="B33" s="85">
        <f>-SUM(V50:V89)</f>
        <v>10877108.561189143</v>
      </c>
      <c r="C33" s="6" t="s">
        <v>34</v>
      </c>
      <c r="D33" s="6"/>
      <c r="E33" s="6"/>
      <c r="F33" s="85">
        <f>-SUM(V93:V132)</f>
        <v>10586057.456928061</v>
      </c>
      <c r="G33" s="6" t="s">
        <v>34</v>
      </c>
      <c r="H33" s="6"/>
      <c r="I33" s="6"/>
      <c r="J33" s="85">
        <f>B33+F33</f>
        <v>21463166.018117204</v>
      </c>
      <c r="K33" s="6" t="s">
        <v>34</v>
      </c>
      <c r="L33" s="87"/>
      <c r="M33" s="6"/>
    </row>
    <row r="34" spans="1:29" x14ac:dyDescent="0.25">
      <c r="A34" s="5" t="s">
        <v>51</v>
      </c>
      <c r="B34" s="85">
        <f>B24/(1+B8)^B12*(1-B9)</f>
        <v>60868.089640974875</v>
      </c>
      <c r="C34" s="6" t="s">
        <v>34</v>
      </c>
      <c r="D34" s="6"/>
      <c r="E34" s="6"/>
      <c r="F34" s="85">
        <f>F24/(1+F8)^F12*(1-F9)</f>
        <v>9025.3809672769494</v>
      </c>
      <c r="G34" s="6" t="s">
        <v>34</v>
      </c>
      <c r="H34" s="6"/>
      <c r="I34" s="6"/>
      <c r="J34" s="85">
        <f>B34+F34</f>
        <v>69893.470608251824</v>
      </c>
      <c r="K34" s="6" t="s">
        <v>34</v>
      </c>
      <c r="L34" s="6"/>
      <c r="M34" s="6"/>
    </row>
    <row r="35" spans="1:29" x14ac:dyDescent="0.25">
      <c r="A35" s="5" t="s">
        <v>52</v>
      </c>
      <c r="B35" s="85">
        <f>B23-B25+B33</f>
        <v>14153029.120990783</v>
      </c>
      <c r="C35" s="6" t="s">
        <v>34</v>
      </c>
      <c r="D35" s="6"/>
      <c r="E35" s="6"/>
      <c r="F35" s="85">
        <f>F23-F25+F33</f>
        <v>11071803.456928061</v>
      </c>
      <c r="G35" s="6" t="s">
        <v>34</v>
      </c>
      <c r="H35" s="6"/>
      <c r="I35" s="6"/>
      <c r="J35" s="85">
        <f>B35+F35</f>
        <v>25224832.577918842</v>
      </c>
      <c r="K35" s="6" t="s">
        <v>34</v>
      </c>
      <c r="L35" s="6"/>
      <c r="M35" s="6"/>
    </row>
    <row r="36" spans="1:29" x14ac:dyDescent="0.25">
      <c r="A36" s="10" t="s">
        <v>108</v>
      </c>
      <c r="B36" s="91">
        <f>B29*B35/B22</f>
        <v>7.9795655517431535E-2</v>
      </c>
      <c r="C36" s="12" t="s">
        <v>35</v>
      </c>
      <c r="D36" s="11">
        <f>B36/0.0036</f>
        <v>22.165459865953206</v>
      </c>
      <c r="E36" s="6" t="s">
        <v>21</v>
      </c>
      <c r="F36" s="109">
        <f>IF(F29*F35/F22&gt;10000000,"n/a",F29*F35/F22)</f>
        <v>6.2423514221094961E-2</v>
      </c>
      <c r="G36" s="12" t="s">
        <v>35</v>
      </c>
      <c r="H36" s="11">
        <f>IF(F36="n/a","n/a",F36/0.0036)</f>
        <v>17.339865061415267</v>
      </c>
      <c r="I36" s="6" t="s">
        <v>21</v>
      </c>
      <c r="J36" s="91">
        <f>J29*J35/J22</f>
        <v>7.1109584869263248E-2</v>
      </c>
      <c r="K36" s="12" t="s">
        <v>35</v>
      </c>
      <c r="L36" s="11">
        <f>J36/0.0036</f>
        <v>19.752662463684235</v>
      </c>
      <c r="M36" s="6" t="s">
        <v>21</v>
      </c>
    </row>
    <row r="37" spans="1:29" x14ac:dyDescent="0.25">
      <c r="A37" s="10" t="s">
        <v>109</v>
      </c>
      <c r="B37" s="22">
        <f>B36/(1-B9)</f>
        <v>7.9795655517431535E-2</v>
      </c>
      <c r="C37" s="12" t="s">
        <v>35</v>
      </c>
      <c r="D37" s="11">
        <f>B37/0.0036</f>
        <v>22.165459865953206</v>
      </c>
      <c r="E37" s="6" t="s">
        <v>21</v>
      </c>
      <c r="F37" s="22">
        <f>IF(F36="n/a","n/a",F36/(1-F9))</f>
        <v>6.2423514221094961E-2</v>
      </c>
      <c r="G37" s="12" t="s">
        <v>35</v>
      </c>
      <c r="H37" s="11">
        <f t="shared" ref="H37:H39" si="1">IF(F37="n/a","n/a",F37/0.0036)</f>
        <v>17.339865061415267</v>
      </c>
      <c r="I37" s="6" t="s">
        <v>21</v>
      </c>
      <c r="J37" s="22">
        <f>J36/(1-B9)</f>
        <v>7.1109584869263248E-2</v>
      </c>
      <c r="K37" s="12" t="s">
        <v>35</v>
      </c>
      <c r="L37" s="11">
        <f>J37/0.0036</f>
        <v>19.752662463684235</v>
      </c>
      <c r="M37" s="6" t="s">
        <v>21</v>
      </c>
      <c r="N37" s="89"/>
    </row>
    <row r="38" spans="1:29" x14ac:dyDescent="0.25">
      <c r="A38" s="14" t="s">
        <v>110</v>
      </c>
      <c r="B38" s="92">
        <f>B31*B35/B22</f>
        <v>6.5714200631255007E-2</v>
      </c>
      <c r="C38" s="16" t="s">
        <v>35</v>
      </c>
      <c r="D38" s="15">
        <f>B38/0.0036</f>
        <v>18.253944619793057</v>
      </c>
      <c r="E38" s="93" t="s">
        <v>21</v>
      </c>
      <c r="F38" s="92">
        <f>IF(F31*F35/F22&gt;10000000,"n/a",F31*F35/F22)</f>
        <v>5.140770272558158E-2</v>
      </c>
      <c r="G38" s="16" t="s">
        <v>35</v>
      </c>
      <c r="H38" s="114">
        <f t="shared" si="1"/>
        <v>14.279917423772662</v>
      </c>
      <c r="I38" s="93" t="s">
        <v>21</v>
      </c>
      <c r="J38" s="92">
        <f>J31*J35/J22</f>
        <v>5.8560951678418294E-2</v>
      </c>
      <c r="K38" s="16" t="s">
        <v>35</v>
      </c>
      <c r="L38" s="15">
        <f>J38/0.0036</f>
        <v>16.26693102178286</v>
      </c>
      <c r="M38" s="93" t="s">
        <v>21</v>
      </c>
    </row>
    <row r="39" spans="1:29" x14ac:dyDescent="0.25">
      <c r="A39" s="10" t="s">
        <v>111</v>
      </c>
      <c r="B39" s="22">
        <f>B38/(1-B9)</f>
        <v>6.5714200631255007E-2</v>
      </c>
      <c r="C39" s="12" t="s">
        <v>35</v>
      </c>
      <c r="D39" s="11">
        <f>B39/0.0036</f>
        <v>18.253944619793057</v>
      </c>
      <c r="E39" s="6" t="s">
        <v>21</v>
      </c>
      <c r="F39" s="91">
        <f>IF(F38="n/a","n/a",F38/(1-F9))</f>
        <v>5.140770272558158E-2</v>
      </c>
      <c r="G39" s="12" t="s">
        <v>35</v>
      </c>
      <c r="H39" s="11">
        <f t="shared" si="1"/>
        <v>14.279917423772662</v>
      </c>
      <c r="I39" s="6" t="s">
        <v>21</v>
      </c>
      <c r="J39" s="91">
        <f>J38/(1-B9)</f>
        <v>5.8560951678418294E-2</v>
      </c>
      <c r="K39" s="12" t="s">
        <v>35</v>
      </c>
      <c r="L39" s="11">
        <f>J39/0.0036</f>
        <v>16.26693102178286</v>
      </c>
      <c r="M39" s="6" t="s">
        <v>21</v>
      </c>
    </row>
    <row r="40" spans="1:29" x14ac:dyDescent="0.25">
      <c r="A40" s="24" t="s">
        <v>53</v>
      </c>
    </row>
    <row r="41" spans="1:29" ht="14.4" x14ac:dyDescent="0.3">
      <c r="A41" s="25" t="s">
        <v>54</v>
      </c>
      <c r="B41" s="9">
        <v>7.85E-2</v>
      </c>
      <c r="C41" s="26" t="s">
        <v>14</v>
      </c>
      <c r="D41" s="26"/>
      <c r="E41" s="26"/>
    </row>
    <row r="42" spans="1:29" x14ac:dyDescent="0.25">
      <c r="A42" s="25" t="s">
        <v>55</v>
      </c>
      <c r="B42" s="27">
        <f>(B41*(1+B41)^B12)/((1+B41)^B12-1)</f>
        <v>0.10071794368308355</v>
      </c>
      <c r="C42" s="26" t="s">
        <v>14</v>
      </c>
      <c r="D42" s="26"/>
      <c r="E42" s="26"/>
    </row>
    <row r="43" spans="1:29" x14ac:dyDescent="0.25">
      <c r="A43" s="25" t="s">
        <v>56</v>
      </c>
      <c r="B43" s="27">
        <f>B42+B15</f>
        <v>0.12071794368308356</v>
      </c>
      <c r="C43" s="26" t="s">
        <v>14</v>
      </c>
      <c r="D43" s="26"/>
      <c r="E43" s="26"/>
    </row>
    <row r="44" spans="1:29" x14ac:dyDescent="0.25">
      <c r="A44" s="28" t="s">
        <v>57</v>
      </c>
      <c r="B44" s="22">
        <f>(B23-B24/(1+B8)^B12)*B43/(B2*B3*365*24)+B14</f>
        <v>4.7102789448172741E-2</v>
      </c>
      <c r="C44" s="29" t="s">
        <v>35</v>
      </c>
      <c r="D44" s="29"/>
      <c r="E44" s="29"/>
    </row>
    <row r="45" spans="1:29" x14ac:dyDescent="0.25">
      <c r="A45" s="30"/>
      <c r="B45" s="22">
        <f>(B23-B24/(1+B41)^B12)*B43/(B2*B3*365*24)+B14</f>
        <v>4.6932063454344482E-2</v>
      </c>
      <c r="C45" s="29"/>
      <c r="D45" s="31"/>
      <c r="E45" s="31"/>
    </row>
    <row r="46" spans="1:29" x14ac:dyDescent="0.25">
      <c r="B46" s="22">
        <f>(B23-B24/(1+B8)^B12)*B43/(B2*B3*365*24)+B14</f>
        <v>4.7102789448172741E-2</v>
      </c>
      <c r="C46" s="117" t="s">
        <v>35</v>
      </c>
      <c r="U46" s="47"/>
      <c r="V46" s="140"/>
      <c r="Z46" s="139"/>
      <c r="AA46" s="88"/>
      <c r="AB46" s="88"/>
      <c r="AC46" s="141"/>
    </row>
    <row r="47" spans="1:29" ht="19.8" x14ac:dyDescent="0.25">
      <c r="A47" s="116" t="str">
        <f>B1</f>
        <v>Bioenergy</v>
      </c>
      <c r="B47" s="121"/>
      <c r="C47" s="121"/>
      <c r="D47" s="121"/>
      <c r="E47" s="121"/>
      <c r="F47" s="121"/>
      <c r="G47" s="122"/>
      <c r="H47" s="121"/>
      <c r="I47" s="121"/>
      <c r="J47" s="121"/>
      <c r="K47" s="121"/>
      <c r="L47" s="122"/>
      <c r="M47" s="121"/>
      <c r="N47" s="121"/>
      <c r="O47" s="121"/>
      <c r="P47" s="121"/>
      <c r="Q47" s="122"/>
      <c r="R47" s="121"/>
      <c r="S47" s="121"/>
      <c r="T47" s="121"/>
      <c r="U47" s="121"/>
      <c r="V47" s="121"/>
      <c r="W47" s="122"/>
      <c r="X47" s="122"/>
      <c r="Y47" s="122"/>
      <c r="Z47" s="122"/>
      <c r="AA47" s="122"/>
      <c r="AB47" s="88"/>
      <c r="AC47" s="97"/>
    </row>
    <row r="48" spans="1:29" s="97" customFormat="1" ht="60" customHeight="1" x14ac:dyDescent="0.3">
      <c r="A48" s="96" t="s">
        <v>58</v>
      </c>
      <c r="B48" s="118" t="s">
        <v>59</v>
      </c>
      <c r="C48" s="118" t="s">
        <v>60</v>
      </c>
      <c r="D48" s="119" t="s">
        <v>61</v>
      </c>
      <c r="E48" s="119" t="s">
        <v>62</v>
      </c>
      <c r="F48" s="118" t="s">
        <v>63</v>
      </c>
      <c r="G48" s="123" t="s">
        <v>64</v>
      </c>
      <c r="H48" s="123" t="s">
        <v>65</v>
      </c>
      <c r="I48" s="118" t="s">
        <v>66</v>
      </c>
      <c r="J48" s="118" t="s">
        <v>67</v>
      </c>
      <c r="K48" s="118" t="s">
        <v>68</v>
      </c>
      <c r="L48" s="123" t="s">
        <v>82</v>
      </c>
      <c r="M48" s="118" t="s">
        <v>69</v>
      </c>
      <c r="N48" s="118" t="s">
        <v>70</v>
      </c>
      <c r="O48" s="118" t="s">
        <v>71</v>
      </c>
      <c r="P48" s="119" t="s">
        <v>72</v>
      </c>
      <c r="Q48" s="123" t="s">
        <v>83</v>
      </c>
      <c r="R48" s="118" t="s">
        <v>73</v>
      </c>
      <c r="S48" s="118" t="s">
        <v>74</v>
      </c>
      <c r="T48" s="126" t="s">
        <v>75</v>
      </c>
      <c r="U48" s="123" t="s">
        <v>80</v>
      </c>
      <c r="V48" s="120" t="s">
        <v>166</v>
      </c>
      <c r="W48" s="123" t="s">
        <v>125</v>
      </c>
      <c r="X48" s="123" t="s">
        <v>167</v>
      </c>
      <c r="Y48" s="123" t="s">
        <v>78</v>
      </c>
      <c r="Z48" s="123" t="s">
        <v>168</v>
      </c>
      <c r="AA48" s="120" t="s">
        <v>229</v>
      </c>
      <c r="AB48" s="123" t="s">
        <v>268</v>
      </c>
      <c r="AC48" s="123" t="s">
        <v>269</v>
      </c>
    </row>
    <row r="49" spans="1:29" ht="14.4" x14ac:dyDescent="0.3">
      <c r="A49" s="35">
        <v>0</v>
      </c>
      <c r="B49" s="44">
        <f>1/(1+Biomass_DCF!$B$8)^A49</f>
        <v>1</v>
      </c>
      <c r="C49" s="35"/>
      <c r="D49" s="36"/>
      <c r="E49" s="36"/>
      <c r="F49" s="98"/>
      <c r="G49" s="124"/>
      <c r="H49" s="124"/>
      <c r="I49" s="98">
        <v>0</v>
      </c>
      <c r="J49" s="98"/>
      <c r="K49" s="98"/>
      <c r="L49" s="124"/>
      <c r="M49" s="98"/>
      <c r="N49" s="98"/>
      <c r="O49" s="98"/>
      <c r="P49" s="98"/>
      <c r="Q49" s="124"/>
      <c r="R49" s="98"/>
      <c r="S49" s="98"/>
      <c r="T49" s="124"/>
      <c r="U49" s="124">
        <f>-$B$26</f>
        <v>-3275920.5598016409</v>
      </c>
      <c r="V49" s="68">
        <f t="shared" ref="V49:V89" si="2">U49*B49</f>
        <v>-3275920.5598016409</v>
      </c>
      <c r="W49" s="124">
        <f>U92</f>
        <v>-485746</v>
      </c>
      <c r="X49" s="124">
        <f>U49+W49</f>
        <v>-3761666.5598016409</v>
      </c>
      <c r="Y49" s="124">
        <f>Baseline_DCF!U49</f>
        <v>0</v>
      </c>
      <c r="Z49" s="124">
        <f>X49-Y49</f>
        <v>-3761666.5598016409</v>
      </c>
      <c r="AA49" s="68">
        <f>Z49*B49</f>
        <v>-3761666.5598016409</v>
      </c>
      <c r="AB49" s="124">
        <f>-U49</f>
        <v>3275920.5598016409</v>
      </c>
      <c r="AC49" s="124">
        <f>-W49</f>
        <v>485746</v>
      </c>
    </row>
    <row r="50" spans="1:29" ht="14.4" x14ac:dyDescent="0.3">
      <c r="A50" s="35">
        <f>A49+1</f>
        <v>1</v>
      </c>
      <c r="B50" s="44">
        <f>1/(1+Biomass_DCF!$B$8)^A50</f>
        <v>0.90909090909090906</v>
      </c>
      <c r="C50" s="36">
        <f>IF(A50&lt;(Biomass_DCF!$B$6+1),1,0)</f>
        <v>1</v>
      </c>
      <c r="D50" s="36">
        <f>IF(A50&lt;(Biomass_DCF!$B$11+1),1,0)</f>
        <v>1</v>
      </c>
      <c r="E50" s="36">
        <f>IF(A50&lt;(Biomass_DCF!$B$12+1),1,0)</f>
        <v>1</v>
      </c>
      <c r="F50" s="98">
        <f xml:space="preserve"> -Biomass_DCF!$B$32*D50</f>
        <v>-545986.75996694015</v>
      </c>
      <c r="G50" s="124">
        <f>-F50*Biomass_DCF!$B$9</f>
        <v>0</v>
      </c>
      <c r="H50" s="124">
        <f>-Biomass_DCF!$B$28*C50</f>
        <v>-715883.28739350592</v>
      </c>
      <c r="I50" s="98">
        <f>Biomass_DCF!B25</f>
        <v>4913880.8397024609</v>
      </c>
      <c r="J50" s="98">
        <f t="shared" ref="J50:J89" si="3">I50+H50-K50</f>
        <v>4566538.6152866399</v>
      </c>
      <c r="K50" s="98">
        <f>-I50*Biomass_DCF!$B$7</f>
        <v>-368541.06297768455</v>
      </c>
      <c r="L50" s="124">
        <f>-(K50*Biomass_DCF!$B$9)</f>
        <v>0</v>
      </c>
      <c r="M50" s="98">
        <f>-$B$15*$B$23*E50*(1+$B$10)^A50</f>
        <v>-167890.92868983408</v>
      </c>
      <c r="N50" s="98">
        <f>M50*$B$9</f>
        <v>0</v>
      </c>
      <c r="O50" s="98">
        <f>-E50*$D$22*$B$14*(1+$B$10)^A50</f>
        <v>0</v>
      </c>
      <c r="P50" s="98">
        <f>O50*$B$9</f>
        <v>0</v>
      </c>
      <c r="Q50" s="124">
        <f>(M50+O50-N50-P50)</f>
        <v>-167890.92868983408</v>
      </c>
      <c r="R50" s="98">
        <f>-E50*$B$21*(1+$B$17)^A50</f>
        <v>-480468.74999999994</v>
      </c>
      <c r="S50" s="98">
        <f>-R50*$B$9</f>
        <v>0</v>
      </c>
      <c r="T50" s="124">
        <f>R50+S50</f>
        <v>-480468.74999999994</v>
      </c>
      <c r="U50" s="124">
        <f>G50+H50+L50+Q50+T50+IF(AND(E50=1,E51=0),$B$24,0)</f>
        <v>-1364242.9660833399</v>
      </c>
      <c r="V50" s="68">
        <f t="shared" si="2"/>
        <v>-1240220.8782575817</v>
      </c>
      <c r="W50" s="124">
        <f t="shared" ref="W50:W89" si="4">U93</f>
        <v>-1091981.5172552937</v>
      </c>
      <c r="X50" s="124">
        <f>U50+W50</f>
        <v>-2456224.4833386336</v>
      </c>
      <c r="Y50" s="124">
        <f>Baseline_DCF!U50</f>
        <v>-1921874.9999999998</v>
      </c>
      <c r="Z50" s="124">
        <f t="shared" ref="Z50:Z89" si="5">X50-Y50</f>
        <v>-534349.48333863379</v>
      </c>
      <c r="AA50" s="68">
        <f t="shared" ref="AA50:AA89" si="6">Z50*B50</f>
        <v>-485772.25758057617</v>
      </c>
      <c r="AB50" s="124">
        <f t="shared" ref="AB50:AB89" si="7">-U50</f>
        <v>1364242.9660833399</v>
      </c>
      <c r="AC50" s="124">
        <f t="shared" ref="AC50:AC89" si="8">-W50</f>
        <v>1091981.5172552937</v>
      </c>
    </row>
    <row r="51" spans="1:29" ht="14.4" x14ac:dyDescent="0.3">
      <c r="A51" s="35">
        <f t="shared" ref="A51:A89" si="9">A50+1</f>
        <v>2</v>
      </c>
      <c r="B51" s="44">
        <f>1/(1+Biomass_DCF!$B$8)^A51</f>
        <v>0.82644628099173545</v>
      </c>
      <c r="C51" s="36">
        <f>IF(A51&lt;(Biomass_DCF!$B$6+1),1,0)</f>
        <v>1</v>
      </c>
      <c r="D51" s="36">
        <f>IF(A51&lt;(Biomass_DCF!$B$11+1),1,0)</f>
        <v>1</v>
      </c>
      <c r="E51" s="36">
        <f>IF(A51&lt;(Biomass_DCF!$B$12+1),1,0)</f>
        <v>1</v>
      </c>
      <c r="F51" s="98">
        <f xml:space="preserve"> -Biomass_DCF!$B$32*D51</f>
        <v>-545986.75996694015</v>
      </c>
      <c r="G51" s="124">
        <f>-F51*Biomass_DCF!$B$9</f>
        <v>0</v>
      </c>
      <c r="H51" s="124">
        <f>-Biomass_DCF!$B$28*C51</f>
        <v>-715883.28739350592</v>
      </c>
      <c r="I51" s="98">
        <f>J50</f>
        <v>4566538.6152866399</v>
      </c>
      <c r="J51" s="98">
        <f t="shared" si="3"/>
        <v>4193145.7240396324</v>
      </c>
      <c r="K51" s="98">
        <f>-I51*Biomass_DCF!$B$7</f>
        <v>-342490.39614649798</v>
      </c>
      <c r="L51" s="124">
        <f>-(K51*Biomass_DCF!$B$9)</f>
        <v>0</v>
      </c>
      <c r="M51" s="98">
        <f t="shared" ref="M51:M89" si="10">-$B$15*$B$23*E51*(1+$B$10)^A51</f>
        <v>-172088.20190707993</v>
      </c>
      <c r="N51" s="98">
        <f t="shared" ref="N51:N89" si="11">M51*$B$9</f>
        <v>0</v>
      </c>
      <c r="O51" s="98">
        <f t="shared" ref="O51:O89" si="12">-E51*$D$22*$B$14*(1+$B$10)^A51</f>
        <v>0</v>
      </c>
      <c r="P51" s="98">
        <f t="shared" ref="P51:P89" si="13">O51*$B$9</f>
        <v>0</v>
      </c>
      <c r="Q51" s="124">
        <f t="shared" ref="Q51:Q89" si="14">(M51+O51-N51-P51)</f>
        <v>-172088.20190707993</v>
      </c>
      <c r="R51" s="98">
        <f t="shared" ref="R51:R89" si="15">-E51*$B$21*(1+$B$17)^A51</f>
        <v>-492480.46874999994</v>
      </c>
      <c r="S51" s="98">
        <f t="shared" ref="S51:S89" si="16">-R51*$B$9</f>
        <v>0</v>
      </c>
      <c r="T51" s="124">
        <f t="shared" ref="T51:T89" si="17">R51+S51</f>
        <v>-492480.46874999994</v>
      </c>
      <c r="U51" s="124">
        <f t="shared" ref="U51:U89" si="18">G51+H51+L51+Q51+T51+IF(AND(E51=1,E52=0),$B$24,0)</f>
        <v>-1380451.9580505858</v>
      </c>
      <c r="V51" s="68">
        <f t="shared" si="2"/>
        <v>-1140869.3868186658</v>
      </c>
      <c r="W51" s="124">
        <f t="shared" si="4"/>
        <v>-1116627.3168177938</v>
      </c>
      <c r="X51" s="124">
        <f t="shared" ref="X51:X89" si="19">U51+W51</f>
        <v>-2497079.2748683793</v>
      </c>
      <c r="Y51" s="124">
        <f>Baseline_DCF!U51</f>
        <v>-1969921.8749999998</v>
      </c>
      <c r="Z51" s="124">
        <f t="shared" si="5"/>
        <v>-527157.39986837958</v>
      </c>
      <c r="AA51" s="68">
        <f t="shared" si="6"/>
        <v>-435667.27261849545</v>
      </c>
      <c r="AB51" s="124">
        <f t="shared" si="7"/>
        <v>1380451.9580505858</v>
      </c>
      <c r="AC51" s="124">
        <f t="shared" si="8"/>
        <v>1116627.3168177938</v>
      </c>
    </row>
    <row r="52" spans="1:29" ht="14.4" x14ac:dyDescent="0.3">
      <c r="A52" s="35">
        <f t="shared" si="9"/>
        <v>3</v>
      </c>
      <c r="B52" s="44">
        <f>1/(1+Biomass_DCF!$B$8)^A52</f>
        <v>0.75131480090157754</v>
      </c>
      <c r="C52" s="36">
        <f>IF(A52&lt;(Biomass_DCF!$B$6+1),1,0)</f>
        <v>1</v>
      </c>
      <c r="D52" s="36">
        <f>IF(A52&lt;(Biomass_DCF!$B$11+1),1,0)</f>
        <v>1</v>
      </c>
      <c r="E52" s="36">
        <f>IF(A52&lt;(Biomass_DCF!$B$12+1),1,0)</f>
        <v>1</v>
      </c>
      <c r="F52" s="98">
        <f xml:space="preserve"> -Biomass_DCF!$B$32*D52</f>
        <v>-545986.75996694015</v>
      </c>
      <c r="G52" s="124">
        <f>-F52*Biomass_DCF!$B$9</f>
        <v>0</v>
      </c>
      <c r="H52" s="124">
        <f>-Biomass_DCF!$B$28*C52</f>
        <v>-715883.28739350592</v>
      </c>
      <c r="I52" s="98">
        <f t="shared" ref="I52:I64" si="20">J51</f>
        <v>4193145.7240396324</v>
      </c>
      <c r="J52" s="98">
        <f t="shared" si="3"/>
        <v>3791748.3659490985</v>
      </c>
      <c r="K52" s="98">
        <f>-I52*Biomass_DCF!$B$7</f>
        <v>-314485.92930297239</v>
      </c>
      <c r="L52" s="124">
        <f>-(K52*Biomass_DCF!$B$9)</f>
        <v>0</v>
      </c>
      <c r="M52" s="98">
        <f t="shared" si="10"/>
        <v>-176390.40695475694</v>
      </c>
      <c r="N52" s="98">
        <f t="shared" si="11"/>
        <v>0</v>
      </c>
      <c r="O52" s="98">
        <f t="shared" si="12"/>
        <v>0</v>
      </c>
      <c r="P52" s="98">
        <f t="shared" si="13"/>
        <v>0</v>
      </c>
      <c r="Q52" s="124">
        <f t="shared" si="14"/>
        <v>-176390.40695475694</v>
      </c>
      <c r="R52" s="98">
        <f t="shared" si="15"/>
        <v>-504792.48046874994</v>
      </c>
      <c r="S52" s="98">
        <f t="shared" si="16"/>
        <v>0</v>
      </c>
      <c r="T52" s="124">
        <f t="shared" si="17"/>
        <v>-504792.48046874994</v>
      </c>
      <c r="U52" s="124">
        <f t="shared" si="18"/>
        <v>-1397066.1748170129</v>
      </c>
      <c r="V52" s="68">
        <f t="shared" si="2"/>
        <v>-1049636.4949789725</v>
      </c>
      <c r="W52" s="124">
        <f t="shared" si="4"/>
        <v>-1141889.2613693562</v>
      </c>
      <c r="X52" s="124">
        <f t="shared" si="19"/>
        <v>-2538955.436186369</v>
      </c>
      <c r="Y52" s="124">
        <f>Baseline_DCF!U52</f>
        <v>-2019169.9218749998</v>
      </c>
      <c r="Z52" s="124">
        <f t="shared" si="5"/>
        <v>-519785.51431136928</v>
      </c>
      <c r="AA52" s="68">
        <f t="shared" si="6"/>
        <v>-390522.55019637052</v>
      </c>
      <c r="AB52" s="124">
        <f t="shared" si="7"/>
        <v>1397066.1748170129</v>
      </c>
      <c r="AC52" s="124">
        <f t="shared" si="8"/>
        <v>1141889.2613693562</v>
      </c>
    </row>
    <row r="53" spans="1:29" ht="14.4" x14ac:dyDescent="0.3">
      <c r="A53" s="35">
        <f t="shared" si="9"/>
        <v>4</v>
      </c>
      <c r="B53" s="44">
        <f>1/(1+Biomass_DCF!$B$8)^A53</f>
        <v>0.68301345536507052</v>
      </c>
      <c r="C53" s="36">
        <f>IF(A53&lt;(Biomass_DCF!$B$6+1),1,0)</f>
        <v>1</v>
      </c>
      <c r="D53" s="36">
        <f>IF(A53&lt;(Biomass_DCF!$B$11+1),1,0)</f>
        <v>1</v>
      </c>
      <c r="E53" s="36">
        <f>IF(A53&lt;(Biomass_DCF!$B$12+1),1,0)</f>
        <v>1</v>
      </c>
      <c r="F53" s="98">
        <f xml:space="preserve"> -Biomass_DCF!$B$32*D53</f>
        <v>-545986.75996694015</v>
      </c>
      <c r="G53" s="124">
        <f>-F53*Biomass_DCF!$B$9</f>
        <v>0</v>
      </c>
      <c r="H53" s="124">
        <f>-Biomass_DCF!$B$28*C53</f>
        <v>-715883.28739350592</v>
      </c>
      <c r="I53" s="98">
        <f t="shared" si="20"/>
        <v>3791748.3659490985</v>
      </c>
      <c r="J53" s="98">
        <f t="shared" si="3"/>
        <v>3360246.2060017749</v>
      </c>
      <c r="K53" s="98">
        <f>-I53*Biomass_DCF!$B$7</f>
        <v>-284381.12744618236</v>
      </c>
      <c r="L53" s="124">
        <f>-(K53*Biomass_DCF!$B$9)</f>
        <v>0</v>
      </c>
      <c r="M53" s="98">
        <f t="shared" si="10"/>
        <v>-180800.16712862582</v>
      </c>
      <c r="N53" s="98">
        <f t="shared" si="11"/>
        <v>0</v>
      </c>
      <c r="O53" s="98">
        <f t="shared" si="12"/>
        <v>0</v>
      </c>
      <c r="P53" s="98">
        <f t="shared" si="13"/>
        <v>0</v>
      </c>
      <c r="Q53" s="124">
        <f t="shared" si="14"/>
        <v>-180800.16712862582</v>
      </c>
      <c r="R53" s="98">
        <f t="shared" si="15"/>
        <v>-517412.29248046863</v>
      </c>
      <c r="S53" s="98">
        <f t="shared" si="16"/>
        <v>0</v>
      </c>
      <c r="T53" s="124">
        <f t="shared" si="17"/>
        <v>-517412.29248046863</v>
      </c>
      <c r="U53" s="124">
        <f t="shared" si="18"/>
        <v>-1414095.7470026002</v>
      </c>
      <c r="V53" s="68">
        <f t="shared" si="2"/>
        <v>-965846.42237729649</v>
      </c>
      <c r="W53" s="124">
        <f t="shared" si="4"/>
        <v>-1167782.7545347076</v>
      </c>
      <c r="X53" s="124">
        <f t="shared" si="19"/>
        <v>-2581878.5015373081</v>
      </c>
      <c r="Y53" s="124">
        <f>Baseline_DCF!U53</f>
        <v>-2069649.1699218745</v>
      </c>
      <c r="Z53" s="124">
        <f t="shared" si="5"/>
        <v>-512229.33161543356</v>
      </c>
      <c r="AA53" s="68">
        <f t="shared" si="6"/>
        <v>-349859.52572599781</v>
      </c>
      <c r="AB53" s="124">
        <f t="shared" si="7"/>
        <v>1414095.7470026002</v>
      </c>
      <c r="AC53" s="124">
        <f t="shared" si="8"/>
        <v>1167782.7545347076</v>
      </c>
    </row>
    <row r="54" spans="1:29" ht="14.4" x14ac:dyDescent="0.3">
      <c r="A54" s="35">
        <f t="shared" si="9"/>
        <v>5</v>
      </c>
      <c r="B54" s="44">
        <f>1/(1+Biomass_DCF!$B$8)^A54</f>
        <v>0.62092132305915493</v>
      </c>
      <c r="C54" s="36">
        <f>IF(A54&lt;(Biomass_DCF!$B$6+1),1,0)</f>
        <v>1</v>
      </c>
      <c r="D54" s="36">
        <f>IF(A54&lt;(Biomass_DCF!$B$11+1),1,0)</f>
        <v>1</v>
      </c>
      <c r="E54" s="36">
        <f>IF(A54&lt;(Biomass_DCF!$B$12+1),1,0)</f>
        <v>1</v>
      </c>
      <c r="F54" s="98">
        <f xml:space="preserve"> -Biomass_DCF!$B$32*D54</f>
        <v>-545986.75996694015</v>
      </c>
      <c r="G54" s="124">
        <f>-F54*Biomass_DCF!$B$9</f>
        <v>0</v>
      </c>
      <c r="H54" s="124">
        <f>-Biomass_DCF!$B$28*C54</f>
        <v>-715883.28739350592</v>
      </c>
      <c r="I54" s="98">
        <f t="shared" si="20"/>
        <v>3360246.2060017749</v>
      </c>
      <c r="J54" s="98">
        <f t="shared" si="3"/>
        <v>2896381.3840584019</v>
      </c>
      <c r="K54" s="98">
        <f>-I54*Biomass_DCF!$B$7</f>
        <v>-252018.46545013311</v>
      </c>
      <c r="L54" s="124">
        <f>-(K54*Biomass_DCF!$B$9)</f>
        <v>0</v>
      </c>
      <c r="M54" s="98">
        <f t="shared" si="10"/>
        <v>-185320.17130684145</v>
      </c>
      <c r="N54" s="98">
        <f t="shared" si="11"/>
        <v>0</v>
      </c>
      <c r="O54" s="98">
        <f t="shared" si="12"/>
        <v>0</v>
      </c>
      <c r="P54" s="98">
        <f t="shared" si="13"/>
        <v>0</v>
      </c>
      <c r="Q54" s="124">
        <f t="shared" si="14"/>
        <v>-185320.17130684145</v>
      </c>
      <c r="R54" s="98">
        <f t="shared" si="15"/>
        <v>-530347.59979248035</v>
      </c>
      <c r="S54" s="98">
        <f t="shared" si="16"/>
        <v>0</v>
      </c>
      <c r="T54" s="124">
        <f t="shared" si="17"/>
        <v>-530347.59979248035</v>
      </c>
      <c r="U54" s="124">
        <f t="shared" si="18"/>
        <v>-1431551.0584928277</v>
      </c>
      <c r="V54" s="68">
        <f t="shared" si="2"/>
        <v>-888880.57726610021</v>
      </c>
      <c r="W54" s="124">
        <f t="shared" si="4"/>
        <v>-1194323.585029193</v>
      </c>
      <c r="X54" s="124">
        <f t="shared" si="19"/>
        <v>-2625874.6435220204</v>
      </c>
      <c r="Y54" s="124">
        <f>Baseline_DCF!U54</f>
        <v>-2121390.3991699214</v>
      </c>
      <c r="Z54" s="124">
        <f t="shared" si="5"/>
        <v>-504484.24435209902</v>
      </c>
      <c r="AA54" s="68">
        <f t="shared" si="6"/>
        <v>-313245.02446560335</v>
      </c>
      <c r="AB54" s="124">
        <f t="shared" si="7"/>
        <v>1431551.0584928277</v>
      </c>
      <c r="AC54" s="124">
        <f t="shared" si="8"/>
        <v>1194323.585029193</v>
      </c>
    </row>
    <row r="55" spans="1:29" ht="14.4" x14ac:dyDescent="0.3">
      <c r="A55" s="35">
        <f t="shared" si="9"/>
        <v>6</v>
      </c>
      <c r="B55" s="44">
        <f>1/(1+Biomass_DCF!$B$8)^A55</f>
        <v>0.56447393005377722</v>
      </c>
      <c r="C55" s="36">
        <f>IF(A55&lt;(Biomass_DCF!$B$6+1),1,0)</f>
        <v>1</v>
      </c>
      <c r="D55" s="36">
        <f>IF(A55&lt;(Biomass_DCF!$B$11+1),1,0)</f>
        <v>1</v>
      </c>
      <c r="E55" s="36">
        <f>IF(A55&lt;(Biomass_DCF!$B$12+1),1,0)</f>
        <v>1</v>
      </c>
      <c r="F55" s="98">
        <f xml:space="preserve"> -Biomass_DCF!$B$32*D55</f>
        <v>-545986.75996694015</v>
      </c>
      <c r="G55" s="124">
        <f>-F55*Biomass_DCF!$B$9</f>
        <v>0</v>
      </c>
      <c r="H55" s="124">
        <f>-Biomass_DCF!$B$28*C55</f>
        <v>-715883.28739350592</v>
      </c>
      <c r="I55" s="98">
        <f t="shared" si="20"/>
        <v>2896381.3840584019</v>
      </c>
      <c r="J55" s="98">
        <f t="shared" si="3"/>
        <v>2397726.7004692764</v>
      </c>
      <c r="K55" s="98">
        <f>-I55*Biomass_DCF!$B$7</f>
        <v>-217228.60380438014</v>
      </c>
      <c r="L55" s="124">
        <f>-(K55*Biomass_DCF!$B$9)</f>
        <v>0</v>
      </c>
      <c r="M55" s="98">
        <f t="shared" si="10"/>
        <v>-189953.17558951248</v>
      </c>
      <c r="N55" s="98">
        <f t="shared" si="11"/>
        <v>0</v>
      </c>
      <c r="O55" s="98">
        <f t="shared" si="12"/>
        <v>0</v>
      </c>
      <c r="P55" s="98">
        <f t="shared" si="13"/>
        <v>0</v>
      </c>
      <c r="Q55" s="124">
        <f t="shared" si="14"/>
        <v>-189953.17558951248</v>
      </c>
      <c r="R55" s="98">
        <f t="shared" si="15"/>
        <v>-543606.28978729225</v>
      </c>
      <c r="S55" s="98">
        <f t="shared" si="16"/>
        <v>0</v>
      </c>
      <c r="T55" s="124">
        <f t="shared" si="17"/>
        <v>-543606.28978729225</v>
      </c>
      <c r="U55" s="124">
        <f t="shared" si="18"/>
        <v>-1449442.7527703107</v>
      </c>
      <c r="V55" s="68">
        <f t="shared" si="2"/>
        <v>-818172.64704422269</v>
      </c>
      <c r="W55" s="124">
        <f t="shared" si="4"/>
        <v>-1221527.9362860403</v>
      </c>
      <c r="X55" s="124">
        <f t="shared" si="19"/>
        <v>-2670970.6890563508</v>
      </c>
      <c r="Y55" s="124">
        <f>Baseline_DCF!U55</f>
        <v>-2174425.159149169</v>
      </c>
      <c r="Z55" s="124">
        <f t="shared" si="5"/>
        <v>-496545.52990718186</v>
      </c>
      <c r="AA55" s="68">
        <f t="shared" si="6"/>
        <v>-280287.0067173423</v>
      </c>
      <c r="AB55" s="124">
        <f t="shared" si="7"/>
        <v>1449442.7527703107</v>
      </c>
      <c r="AC55" s="124">
        <f t="shared" si="8"/>
        <v>1221527.9362860403</v>
      </c>
    </row>
    <row r="56" spans="1:29" ht="14.4" x14ac:dyDescent="0.3">
      <c r="A56" s="35">
        <f t="shared" si="9"/>
        <v>7</v>
      </c>
      <c r="B56" s="44">
        <f>1/(1+Biomass_DCF!$B$8)^A56</f>
        <v>0.51315811823070645</v>
      </c>
      <c r="C56" s="36">
        <f>IF(A56&lt;(Biomass_DCF!$B$6+1),1,0)</f>
        <v>1</v>
      </c>
      <c r="D56" s="36">
        <f>IF(A56&lt;(Biomass_DCF!$B$11+1),1,0)</f>
        <v>1</v>
      </c>
      <c r="E56" s="36">
        <f>IF(A56&lt;(Biomass_DCF!$B$12+1),1,0)</f>
        <v>1</v>
      </c>
      <c r="F56" s="98">
        <f xml:space="preserve"> -Biomass_DCF!$B$32*D56</f>
        <v>-545986.75996694015</v>
      </c>
      <c r="G56" s="124">
        <f>-F56*Biomass_DCF!$B$9</f>
        <v>0</v>
      </c>
      <c r="H56" s="124">
        <f>-Biomass_DCF!$B$28*C56</f>
        <v>-715883.28739350592</v>
      </c>
      <c r="I56" s="98">
        <f t="shared" si="20"/>
        <v>2397726.7004692764</v>
      </c>
      <c r="J56" s="98">
        <f t="shared" si="3"/>
        <v>1861672.9156109663</v>
      </c>
      <c r="K56" s="98">
        <f>-I56*Biomass_DCF!$B$7</f>
        <v>-179829.50253519573</v>
      </c>
      <c r="L56" s="124">
        <f>-(K56*Biomass_DCF!$B$9)</f>
        <v>0</v>
      </c>
      <c r="M56" s="98">
        <f t="shared" si="10"/>
        <v>-194702.00497925031</v>
      </c>
      <c r="N56" s="98">
        <f t="shared" si="11"/>
        <v>0</v>
      </c>
      <c r="O56" s="98">
        <f t="shared" si="12"/>
        <v>0</v>
      </c>
      <c r="P56" s="98">
        <f t="shared" si="13"/>
        <v>0</v>
      </c>
      <c r="Q56" s="124">
        <f t="shared" si="14"/>
        <v>-194702.00497925031</v>
      </c>
      <c r="R56" s="98">
        <f t="shared" si="15"/>
        <v>-557196.44703197456</v>
      </c>
      <c r="S56" s="98">
        <f t="shared" si="16"/>
        <v>0</v>
      </c>
      <c r="T56" s="124">
        <f t="shared" si="17"/>
        <v>-557196.44703197456</v>
      </c>
      <c r="U56" s="124">
        <f t="shared" si="18"/>
        <v>-1467781.7394047307</v>
      </c>
      <c r="V56" s="68">
        <f t="shared" si="2"/>
        <v>-753204.11536632478</v>
      </c>
      <c r="W56" s="124">
        <f t="shared" si="4"/>
        <v>-1249412.3963243091</v>
      </c>
      <c r="X56" s="124">
        <f t="shared" si="19"/>
        <v>-2717194.13572904</v>
      </c>
      <c r="Y56" s="124">
        <f>Baseline_DCF!U56</f>
        <v>-2228785.7881278982</v>
      </c>
      <c r="Z56" s="124">
        <f t="shared" si="5"/>
        <v>-488408.34760114178</v>
      </c>
      <c r="AA56" s="68">
        <f t="shared" si="6"/>
        <v>-250630.70858317069</v>
      </c>
      <c r="AB56" s="124">
        <f t="shared" si="7"/>
        <v>1467781.7394047307</v>
      </c>
      <c r="AC56" s="124">
        <f t="shared" si="8"/>
        <v>1249412.3963243091</v>
      </c>
    </row>
    <row r="57" spans="1:29" ht="14.4" x14ac:dyDescent="0.3">
      <c r="A57" s="35">
        <f t="shared" si="9"/>
        <v>8</v>
      </c>
      <c r="B57" s="44">
        <f>1/(1+Biomass_DCF!$B$8)^A57</f>
        <v>0.46650738020973315</v>
      </c>
      <c r="C57" s="36">
        <f>IF(A57&lt;(Biomass_DCF!$B$6+1),1,0)</f>
        <v>1</v>
      </c>
      <c r="D57" s="36">
        <f>IF(A57&lt;(Biomass_DCF!$B$11+1),1,0)</f>
        <v>1</v>
      </c>
      <c r="E57" s="36">
        <f>IF(A57&lt;(Biomass_DCF!$B$12+1),1,0)</f>
        <v>1</v>
      </c>
      <c r="F57" s="98">
        <f xml:space="preserve"> -Biomass_DCF!$B$32*D57</f>
        <v>-545986.75996694015</v>
      </c>
      <c r="G57" s="124">
        <f>-F57*Biomass_DCF!$B$9</f>
        <v>0</v>
      </c>
      <c r="H57" s="124">
        <f>-Biomass_DCF!$B$28*C57</f>
        <v>-715883.28739350592</v>
      </c>
      <c r="I57" s="98">
        <f t="shared" si="20"/>
        <v>1861672.9156109663</v>
      </c>
      <c r="J57" s="98">
        <f t="shared" si="3"/>
        <v>1285415.0968882828</v>
      </c>
      <c r="K57" s="98">
        <f>-I57*Biomass_DCF!$B$7</f>
        <v>-139625.46867082248</v>
      </c>
      <c r="L57" s="124">
        <f>-(K57*Biomass_DCF!$B$9)</f>
        <v>0</v>
      </c>
      <c r="M57" s="98">
        <f t="shared" si="10"/>
        <v>-199569.55510373155</v>
      </c>
      <c r="N57" s="98">
        <f t="shared" si="11"/>
        <v>0</v>
      </c>
      <c r="O57" s="98">
        <f t="shared" si="12"/>
        <v>0</v>
      </c>
      <c r="P57" s="98">
        <f t="shared" si="13"/>
        <v>0</v>
      </c>
      <c r="Q57" s="124">
        <f t="shared" si="14"/>
        <v>-199569.55510373155</v>
      </c>
      <c r="R57" s="98">
        <f t="shared" si="15"/>
        <v>-571126.35820777388</v>
      </c>
      <c r="S57" s="98">
        <f t="shared" si="16"/>
        <v>0</v>
      </c>
      <c r="T57" s="124">
        <f t="shared" si="17"/>
        <v>-571126.35820777388</v>
      </c>
      <c r="U57" s="124">
        <f t="shared" si="18"/>
        <v>-1486579.2007050114</v>
      </c>
      <c r="V57" s="68">
        <f t="shared" si="2"/>
        <v>-693500.16839517397</v>
      </c>
      <c r="W57" s="124">
        <f t="shared" si="4"/>
        <v>-1277993.9678635341</v>
      </c>
      <c r="X57" s="124">
        <f t="shared" si="19"/>
        <v>-2764573.1685685455</v>
      </c>
      <c r="Y57" s="124">
        <f>Baseline_DCF!U57</f>
        <v>-2284505.4328310955</v>
      </c>
      <c r="Z57" s="124">
        <f t="shared" si="5"/>
        <v>-480067.73573744996</v>
      </c>
      <c r="AA57" s="68">
        <f t="shared" si="6"/>
        <v>-223955.14172209628</v>
      </c>
      <c r="AB57" s="124">
        <f t="shared" si="7"/>
        <v>1486579.2007050114</v>
      </c>
      <c r="AC57" s="124">
        <f t="shared" si="8"/>
        <v>1277993.9678635341</v>
      </c>
    </row>
    <row r="58" spans="1:29" ht="14.4" x14ac:dyDescent="0.3">
      <c r="A58" s="35">
        <f t="shared" si="9"/>
        <v>9</v>
      </c>
      <c r="B58" s="44">
        <f>1/(1+Biomass_DCF!$B$8)^A58</f>
        <v>0.42409761837248466</v>
      </c>
      <c r="C58" s="36">
        <f>IF(A58&lt;(Biomass_DCF!$B$6+1),1,0)</f>
        <v>1</v>
      </c>
      <c r="D58" s="36">
        <f>IF(A58&lt;(Biomass_DCF!$B$11+1),1,0)</f>
        <v>1</v>
      </c>
      <c r="E58" s="36">
        <f>IF(A58&lt;(Biomass_DCF!$B$12+1),1,0)</f>
        <v>1</v>
      </c>
      <c r="F58" s="98">
        <f xml:space="preserve"> -Biomass_DCF!$B$32*D58</f>
        <v>-545986.75996694015</v>
      </c>
      <c r="G58" s="124">
        <f>-F58*Biomass_DCF!$B$9</f>
        <v>0</v>
      </c>
      <c r="H58" s="124">
        <f>-Biomass_DCF!$B$28*C58</f>
        <v>-715883.28739350592</v>
      </c>
      <c r="I58" s="98">
        <f t="shared" si="20"/>
        <v>1285415.0968882828</v>
      </c>
      <c r="J58" s="98">
        <f t="shared" si="3"/>
        <v>665937.94176139811</v>
      </c>
      <c r="K58" s="98">
        <f>-I58*Biomass_DCF!$B$7</f>
        <v>-96406.132266621207</v>
      </c>
      <c r="L58" s="124">
        <f>-(K58*Biomass_DCF!$B$9)</f>
        <v>0</v>
      </c>
      <c r="M58" s="98">
        <f t="shared" si="10"/>
        <v>-204558.79398132479</v>
      </c>
      <c r="N58" s="98">
        <f t="shared" si="11"/>
        <v>0</v>
      </c>
      <c r="O58" s="98">
        <f t="shared" si="12"/>
        <v>0</v>
      </c>
      <c r="P58" s="98">
        <f t="shared" si="13"/>
        <v>0</v>
      </c>
      <c r="Q58" s="124">
        <f t="shared" si="14"/>
        <v>-204558.79398132479</v>
      </c>
      <c r="R58" s="98">
        <f t="shared" si="15"/>
        <v>-585404.51716296817</v>
      </c>
      <c r="S58" s="98">
        <f t="shared" si="16"/>
        <v>0</v>
      </c>
      <c r="T58" s="124">
        <f t="shared" si="17"/>
        <v>-585404.51716296817</v>
      </c>
      <c r="U58" s="124">
        <f t="shared" si="18"/>
        <v>-1505846.598537799</v>
      </c>
      <c r="V58" s="68">
        <f t="shared" si="2"/>
        <v>-638625.95607418765</v>
      </c>
      <c r="W58" s="124">
        <f t="shared" si="4"/>
        <v>-1307290.0786912402</v>
      </c>
      <c r="X58" s="124">
        <f t="shared" si="19"/>
        <v>-2813136.6772290394</v>
      </c>
      <c r="Y58" s="124">
        <f>Baseline_DCF!U58</f>
        <v>-2341618.0686518727</v>
      </c>
      <c r="Z58" s="124">
        <f t="shared" si="5"/>
        <v>-471518.60857716668</v>
      </c>
      <c r="AA58" s="68">
        <f t="shared" si="6"/>
        <v>-199969.91891588422</v>
      </c>
      <c r="AB58" s="124">
        <f t="shared" si="7"/>
        <v>1505846.598537799</v>
      </c>
      <c r="AC58" s="124">
        <f t="shared" si="8"/>
        <v>1307290.0786912402</v>
      </c>
    </row>
    <row r="59" spans="1:29" ht="14.4" x14ac:dyDescent="0.3">
      <c r="A59" s="35">
        <f t="shared" si="9"/>
        <v>10</v>
      </c>
      <c r="B59" s="44">
        <f>1/(1+Biomass_DCF!$B$8)^A59</f>
        <v>0.38554328942953148</v>
      </c>
      <c r="C59" s="36">
        <f>IF(A59&lt;(Biomass_DCF!$B$6+1),1,0)</f>
        <v>1</v>
      </c>
      <c r="D59" s="36">
        <f>IF(A59&lt;(Biomass_DCF!$B$11+1),1,0)</f>
        <v>1</v>
      </c>
      <c r="E59" s="36">
        <f>IF(A59&lt;(Biomass_DCF!$B$12+1),1,0)</f>
        <v>1</v>
      </c>
      <c r="F59" s="98">
        <f xml:space="preserve"> -Biomass_DCF!$B$32*D59</f>
        <v>-545986.75996694015</v>
      </c>
      <c r="G59" s="124">
        <f>-F59*Biomass_DCF!$B$9</f>
        <v>0</v>
      </c>
      <c r="H59" s="124">
        <f>-Biomass_DCF!$B$28*C59</f>
        <v>-715883.28739350592</v>
      </c>
      <c r="I59" s="98">
        <f t="shared" si="20"/>
        <v>665937.94176139811</v>
      </c>
      <c r="J59" s="98">
        <f t="shared" si="3"/>
        <v>-2.9540387913584709E-9</v>
      </c>
      <c r="K59" s="98">
        <f>-I59*Biomass_DCF!$B$7</f>
        <v>-49945.345632104858</v>
      </c>
      <c r="L59" s="124">
        <f>-(K59*Biomass_DCF!$B$9)</f>
        <v>0</v>
      </c>
      <c r="M59" s="98">
        <f t="shared" si="10"/>
        <v>-209672.76383085793</v>
      </c>
      <c r="N59" s="98">
        <f t="shared" si="11"/>
        <v>0</v>
      </c>
      <c r="O59" s="98">
        <f t="shared" si="12"/>
        <v>0</v>
      </c>
      <c r="P59" s="98">
        <f t="shared" si="13"/>
        <v>0</v>
      </c>
      <c r="Q59" s="124">
        <f t="shared" si="14"/>
        <v>-209672.76383085793</v>
      </c>
      <c r="R59" s="98">
        <f t="shared" si="15"/>
        <v>-600039.63009204238</v>
      </c>
      <c r="S59" s="98">
        <f t="shared" si="16"/>
        <v>0</v>
      </c>
      <c r="T59" s="124">
        <f t="shared" si="17"/>
        <v>-600039.63009204238</v>
      </c>
      <c r="U59" s="124">
        <f t="shared" si="18"/>
        <v>-1525595.6813164062</v>
      </c>
      <c r="V59" s="68">
        <f t="shared" si="2"/>
        <v>-588183.17731421452</v>
      </c>
      <c r="W59" s="124">
        <f t="shared" si="4"/>
        <v>-1337318.5922896387</v>
      </c>
      <c r="X59" s="124">
        <f t="shared" si="19"/>
        <v>-2862914.2736060452</v>
      </c>
      <c r="Y59" s="124">
        <f>Baseline_DCF!U59</f>
        <v>-2400158.5203681695</v>
      </c>
      <c r="Z59" s="124">
        <f t="shared" si="5"/>
        <v>-462755.75323787564</v>
      </c>
      <c r="AA59" s="68">
        <f t="shared" si="6"/>
        <v>-178412.37530577113</v>
      </c>
      <c r="AB59" s="124">
        <f t="shared" si="7"/>
        <v>1525595.6813164062</v>
      </c>
      <c r="AC59" s="124">
        <f t="shared" si="8"/>
        <v>1337318.5922896387</v>
      </c>
    </row>
    <row r="60" spans="1:29" ht="14.4" x14ac:dyDescent="0.3">
      <c r="A60" s="35">
        <f t="shared" si="9"/>
        <v>11</v>
      </c>
      <c r="B60" s="44">
        <f>1/(1+Biomass_DCF!$B$8)^A60</f>
        <v>0.3504938994813922</v>
      </c>
      <c r="C60" s="36">
        <f>IF(A60&lt;(Biomass_DCF!$B$6+1),1,0)</f>
        <v>0</v>
      </c>
      <c r="D60" s="36">
        <f>IF(A60&lt;(Biomass_DCF!$B$11+1),1,0)</f>
        <v>1</v>
      </c>
      <c r="E60" s="36">
        <f>IF(A60&lt;(Biomass_DCF!$B$12+1),1,0)</f>
        <v>1</v>
      </c>
      <c r="F60" s="98">
        <f xml:space="preserve"> -Biomass_DCF!$B$32*D60</f>
        <v>-545986.75996694015</v>
      </c>
      <c r="G60" s="124">
        <f>-F60*Biomass_DCF!$B$9</f>
        <v>0</v>
      </c>
      <c r="H60" s="124">
        <f>-Biomass_DCF!$B$28*C60</f>
        <v>0</v>
      </c>
      <c r="I60" s="98">
        <f t="shared" si="20"/>
        <v>-2.9540387913584709E-9</v>
      </c>
      <c r="J60" s="98">
        <f t="shared" si="3"/>
        <v>-3.1755917007103562E-9</v>
      </c>
      <c r="K60" s="98">
        <f>-I60*Biomass_DCF!$B$7</f>
        <v>2.2155290935188531E-10</v>
      </c>
      <c r="L60" s="124">
        <f>-(K60*Biomass_DCF!$B$9)</f>
        <v>0</v>
      </c>
      <c r="M60" s="98">
        <f t="shared" si="10"/>
        <v>-214914.58292662937</v>
      </c>
      <c r="N60" s="98">
        <f t="shared" si="11"/>
        <v>0</v>
      </c>
      <c r="O60" s="98">
        <f t="shared" si="12"/>
        <v>0</v>
      </c>
      <c r="P60" s="98">
        <f t="shared" si="13"/>
        <v>0</v>
      </c>
      <c r="Q60" s="124">
        <f t="shared" si="14"/>
        <v>-214914.58292662937</v>
      </c>
      <c r="R60" s="98">
        <f t="shared" si="15"/>
        <v>-615040.62084434344</v>
      </c>
      <c r="S60" s="98">
        <f t="shared" si="16"/>
        <v>0</v>
      </c>
      <c r="T60" s="124">
        <f t="shared" si="17"/>
        <v>-615040.62084434344</v>
      </c>
      <c r="U60" s="124">
        <f t="shared" si="18"/>
        <v>-829955.20377097279</v>
      </c>
      <c r="V60" s="68">
        <f t="shared" si="2"/>
        <v>-290894.23576456174</v>
      </c>
      <c r="W60" s="124">
        <f t="shared" si="4"/>
        <v>-1261948.2839727036</v>
      </c>
      <c r="X60" s="124">
        <f t="shared" si="19"/>
        <v>-2091903.4877436764</v>
      </c>
      <c r="Y60" s="124">
        <f>Baseline_DCF!U60</f>
        <v>-2460162.4833773738</v>
      </c>
      <c r="Z60" s="124">
        <f t="shared" si="5"/>
        <v>368258.99563369737</v>
      </c>
      <c r="AA60" s="68">
        <f t="shared" si="6"/>
        <v>129072.53139875557</v>
      </c>
      <c r="AB60" s="124">
        <f t="shared" si="7"/>
        <v>829955.20377097279</v>
      </c>
      <c r="AC60" s="124">
        <f t="shared" si="8"/>
        <v>1261948.2839727036</v>
      </c>
    </row>
    <row r="61" spans="1:29" ht="14.4" x14ac:dyDescent="0.3">
      <c r="A61" s="35">
        <f t="shared" si="9"/>
        <v>12</v>
      </c>
      <c r="B61" s="44">
        <f>1/(1+Biomass_DCF!$B$8)^A61</f>
        <v>0.31863081771035656</v>
      </c>
      <c r="C61" s="36">
        <f>IF(A61&lt;(Biomass_DCF!$B$6+1),1,0)</f>
        <v>0</v>
      </c>
      <c r="D61" s="36">
        <f>IF(A61&lt;(Biomass_DCF!$B$11+1),1,0)</f>
        <v>1</v>
      </c>
      <c r="E61" s="36">
        <f>IF(A61&lt;(Biomass_DCF!$B$12+1),1,0)</f>
        <v>1</v>
      </c>
      <c r="F61" s="98">
        <f xml:space="preserve"> -Biomass_DCF!$B$32*D61</f>
        <v>-545986.75996694015</v>
      </c>
      <c r="G61" s="124">
        <f>-F61*Biomass_DCF!$B$9</f>
        <v>0</v>
      </c>
      <c r="H61" s="124">
        <f>-Biomass_DCF!$B$28*C61</f>
        <v>0</v>
      </c>
      <c r="I61" s="98">
        <f t="shared" si="20"/>
        <v>-3.1755917007103562E-9</v>
      </c>
      <c r="J61" s="98">
        <f t="shared" si="3"/>
        <v>-3.4137610782636328E-9</v>
      </c>
      <c r="K61" s="98">
        <f>-I61*Biomass_DCF!$B$7</f>
        <v>2.3816937755327672E-10</v>
      </c>
      <c r="L61" s="124">
        <f>-(K61*Biomass_DCF!$B$9)</f>
        <v>0</v>
      </c>
      <c r="M61" s="98">
        <f t="shared" si="10"/>
        <v>-220287.44749979509</v>
      </c>
      <c r="N61" s="98">
        <f t="shared" si="11"/>
        <v>0</v>
      </c>
      <c r="O61" s="98">
        <f t="shared" si="12"/>
        <v>0</v>
      </c>
      <c r="P61" s="98">
        <f t="shared" si="13"/>
        <v>0</v>
      </c>
      <c r="Q61" s="124">
        <f t="shared" si="14"/>
        <v>-220287.44749979509</v>
      </c>
      <c r="R61" s="98">
        <f t="shared" si="15"/>
        <v>-630416.63636545197</v>
      </c>
      <c r="S61" s="98">
        <f t="shared" si="16"/>
        <v>0</v>
      </c>
      <c r="T61" s="124">
        <f t="shared" si="17"/>
        <v>-630416.63636545197</v>
      </c>
      <c r="U61" s="124">
        <f t="shared" si="18"/>
        <v>-850704.08386524708</v>
      </c>
      <c r="V61" s="68">
        <f t="shared" si="2"/>
        <v>-271060.53787152341</v>
      </c>
      <c r="W61" s="124">
        <f t="shared" si="4"/>
        <v>-1293496.991072021</v>
      </c>
      <c r="X61" s="124">
        <f t="shared" si="19"/>
        <v>-2144201.0749372682</v>
      </c>
      <c r="Y61" s="124">
        <f>Baseline_DCF!U61</f>
        <v>-2521666.5454618079</v>
      </c>
      <c r="Z61" s="124">
        <f t="shared" si="5"/>
        <v>377465.47052453971</v>
      </c>
      <c r="AA61" s="68">
        <f t="shared" si="6"/>
        <v>120272.13153065857</v>
      </c>
      <c r="AB61" s="124">
        <f t="shared" si="7"/>
        <v>850704.08386524708</v>
      </c>
      <c r="AC61" s="124">
        <f t="shared" si="8"/>
        <v>1293496.991072021</v>
      </c>
    </row>
    <row r="62" spans="1:29" ht="14.4" x14ac:dyDescent="0.3">
      <c r="A62" s="35">
        <f t="shared" si="9"/>
        <v>13</v>
      </c>
      <c r="B62" s="44">
        <f>1/(1+Biomass_DCF!$B$8)^A62</f>
        <v>0.28966437973668779</v>
      </c>
      <c r="C62" s="36">
        <f>IF(A62&lt;(Biomass_DCF!$B$6+1),1,0)</f>
        <v>0</v>
      </c>
      <c r="D62" s="36">
        <f>IF(A62&lt;(Biomass_DCF!$B$11+1),1,0)</f>
        <v>1</v>
      </c>
      <c r="E62" s="36">
        <f>IF(A62&lt;(Biomass_DCF!$B$12+1),1,0)</f>
        <v>1</v>
      </c>
      <c r="F62" s="98">
        <f xml:space="preserve"> -Biomass_DCF!$B$32*D62</f>
        <v>-545986.75996694015</v>
      </c>
      <c r="G62" s="124">
        <f>-F62*Biomass_DCF!$B$9</f>
        <v>0</v>
      </c>
      <c r="H62" s="124">
        <f>-Biomass_DCF!$B$28*C62</f>
        <v>0</v>
      </c>
      <c r="I62" s="98">
        <f t="shared" si="20"/>
        <v>-3.4137610782636328E-9</v>
      </c>
      <c r="J62" s="98">
        <f t="shared" si="3"/>
        <v>-3.6697931591334051E-9</v>
      </c>
      <c r="K62" s="98">
        <f>-I62*Biomass_DCF!$B$7</f>
        <v>2.5603208086977246E-10</v>
      </c>
      <c r="L62" s="124">
        <f>-(K62*Biomass_DCF!$B$9)</f>
        <v>0</v>
      </c>
      <c r="M62" s="98">
        <f t="shared" si="10"/>
        <v>-225794.63368728996</v>
      </c>
      <c r="N62" s="98">
        <f t="shared" si="11"/>
        <v>0</v>
      </c>
      <c r="O62" s="98">
        <f t="shared" si="12"/>
        <v>0</v>
      </c>
      <c r="P62" s="98">
        <f t="shared" si="13"/>
        <v>0</v>
      </c>
      <c r="Q62" s="124">
        <f t="shared" si="14"/>
        <v>-225794.63368728996</v>
      </c>
      <c r="R62" s="98">
        <f t="shared" si="15"/>
        <v>-646177.05227458826</v>
      </c>
      <c r="S62" s="98">
        <f t="shared" si="16"/>
        <v>0</v>
      </c>
      <c r="T62" s="124">
        <f t="shared" si="17"/>
        <v>-646177.05227458826</v>
      </c>
      <c r="U62" s="124">
        <f t="shared" si="18"/>
        <v>-871971.68596187816</v>
      </c>
      <c r="V62" s="68">
        <f t="shared" si="2"/>
        <v>-252579.13756210136</v>
      </c>
      <c r="W62" s="124">
        <f t="shared" si="4"/>
        <v>-1325834.4158488216</v>
      </c>
      <c r="X62" s="124">
        <f t="shared" si="19"/>
        <v>-2197806.1018106998</v>
      </c>
      <c r="Y62" s="124">
        <f>Baseline_DCF!U62</f>
        <v>-2584708.2090983531</v>
      </c>
      <c r="Z62" s="124">
        <f t="shared" si="5"/>
        <v>386902.10728765326</v>
      </c>
      <c r="AA62" s="68">
        <f t="shared" si="6"/>
        <v>112071.75892629552</v>
      </c>
      <c r="AB62" s="124">
        <f t="shared" si="7"/>
        <v>871971.68596187816</v>
      </c>
      <c r="AC62" s="124">
        <f t="shared" si="8"/>
        <v>1325834.4158488216</v>
      </c>
    </row>
    <row r="63" spans="1:29" ht="14.4" x14ac:dyDescent="0.3">
      <c r="A63" s="35">
        <f t="shared" si="9"/>
        <v>14</v>
      </c>
      <c r="B63" s="44">
        <f>1/(1+Biomass_DCF!$B$8)^A63</f>
        <v>0.26333125430607973</v>
      </c>
      <c r="C63" s="36">
        <f>IF(A63&lt;(Biomass_DCF!$B$6+1),1,0)</f>
        <v>0</v>
      </c>
      <c r="D63" s="36">
        <f>IF(A63&lt;(Biomass_DCF!$B$11+1),1,0)</f>
        <v>1</v>
      </c>
      <c r="E63" s="36">
        <f>IF(A63&lt;(Biomass_DCF!$B$12+1),1,0)</f>
        <v>1</v>
      </c>
      <c r="F63" s="98">
        <f xml:space="preserve"> -Biomass_DCF!$B$32*D63</f>
        <v>-545986.75996694015</v>
      </c>
      <c r="G63" s="124">
        <f>-F63*Biomass_DCF!$B$9</f>
        <v>0</v>
      </c>
      <c r="H63" s="124">
        <f>-Biomass_DCF!$B$28*C63</f>
        <v>0</v>
      </c>
      <c r="I63" s="98">
        <f t="shared" si="20"/>
        <v>-3.6697931591334051E-9</v>
      </c>
      <c r="J63" s="98">
        <f t="shared" si="3"/>
        <v>-3.9450276460684102E-9</v>
      </c>
      <c r="K63" s="98">
        <f>-I63*Biomass_DCF!$B$7</f>
        <v>2.7523448693500537E-10</v>
      </c>
      <c r="L63" s="124">
        <f>-(K63*Biomass_DCF!$B$9)</f>
        <v>0</v>
      </c>
      <c r="M63" s="98">
        <f t="shared" si="10"/>
        <v>-231439.49952947217</v>
      </c>
      <c r="N63" s="98">
        <f t="shared" si="11"/>
        <v>0</v>
      </c>
      <c r="O63" s="98">
        <f t="shared" si="12"/>
        <v>0</v>
      </c>
      <c r="P63" s="98">
        <f t="shared" si="13"/>
        <v>0</v>
      </c>
      <c r="Q63" s="124">
        <f t="shared" si="14"/>
        <v>-231439.49952947217</v>
      </c>
      <c r="R63" s="98">
        <f t="shared" si="15"/>
        <v>-662331.47858145286</v>
      </c>
      <c r="S63" s="98">
        <f t="shared" si="16"/>
        <v>0</v>
      </c>
      <c r="T63" s="124">
        <f t="shared" si="17"/>
        <v>-662331.47858145286</v>
      </c>
      <c r="U63" s="124">
        <f t="shared" si="18"/>
        <v>-893770.97811092506</v>
      </c>
      <c r="V63" s="68">
        <f t="shared" si="2"/>
        <v>-235357.83272832163</v>
      </c>
      <c r="W63" s="124">
        <f t="shared" si="4"/>
        <v>-1358980.2762450418</v>
      </c>
      <c r="X63" s="124">
        <f t="shared" si="19"/>
        <v>-2252751.254355967</v>
      </c>
      <c r="Y63" s="124">
        <f>Baseline_DCF!U63</f>
        <v>-2649325.9143258114</v>
      </c>
      <c r="Z63" s="124">
        <f t="shared" si="5"/>
        <v>396574.65996984439</v>
      </c>
      <c r="AA63" s="68">
        <f t="shared" si="6"/>
        <v>104430.50263586619</v>
      </c>
      <c r="AB63" s="124">
        <f t="shared" si="7"/>
        <v>893770.97811092506</v>
      </c>
      <c r="AC63" s="124">
        <f t="shared" si="8"/>
        <v>1358980.2762450418</v>
      </c>
    </row>
    <row r="64" spans="1:29" ht="14.4" x14ac:dyDescent="0.3">
      <c r="A64" s="35">
        <f t="shared" si="9"/>
        <v>15</v>
      </c>
      <c r="B64" s="44">
        <f>1/(1+Biomass_DCF!$B$8)^A64</f>
        <v>0.23939204936916339</v>
      </c>
      <c r="C64" s="36">
        <f>IF(A64&lt;(Biomass_DCF!$B$6+1),1,0)</f>
        <v>0</v>
      </c>
      <c r="D64" s="36">
        <f>IF(A64&lt;(Biomass_DCF!$B$11+1),1,0)</f>
        <v>1</v>
      </c>
      <c r="E64" s="36">
        <f>IF(A64&lt;(Biomass_DCF!$B$12+1),1,0)</f>
        <v>1</v>
      </c>
      <c r="F64" s="98">
        <f xml:space="preserve"> -Biomass_DCF!$B$32*D64</f>
        <v>-545986.75996694015</v>
      </c>
      <c r="G64" s="124">
        <f>-F64*Biomass_DCF!$B$9</f>
        <v>0</v>
      </c>
      <c r="H64" s="124">
        <f>-Biomass_DCF!$B$28*C64</f>
        <v>0</v>
      </c>
      <c r="I64" s="98">
        <f t="shared" si="20"/>
        <v>-3.9450276460684102E-9</v>
      </c>
      <c r="J64" s="98">
        <f t="shared" si="3"/>
        <v>-4.2409047195235411E-9</v>
      </c>
      <c r="K64" s="98">
        <f>-I64*Biomass_DCF!$B$7</f>
        <v>2.9587707345513077E-10</v>
      </c>
      <c r="L64" s="124">
        <f>-(K64*Biomass_DCF!$B$9)</f>
        <v>0</v>
      </c>
      <c r="M64" s="98">
        <f t="shared" si="10"/>
        <v>-237225.48701770901</v>
      </c>
      <c r="N64" s="98">
        <f t="shared" si="11"/>
        <v>0</v>
      </c>
      <c r="O64" s="98">
        <f t="shared" si="12"/>
        <v>0</v>
      </c>
      <c r="P64" s="98">
        <f t="shared" si="13"/>
        <v>0</v>
      </c>
      <c r="Q64" s="124">
        <f t="shared" si="14"/>
        <v>-237225.48701770901</v>
      </c>
      <c r="R64" s="98">
        <f t="shared" si="15"/>
        <v>-678889.76554598927</v>
      </c>
      <c r="S64" s="98">
        <f t="shared" si="16"/>
        <v>0</v>
      </c>
      <c r="T64" s="124">
        <f t="shared" si="17"/>
        <v>-678889.76554598927</v>
      </c>
      <c r="U64" s="124">
        <f t="shared" si="18"/>
        <v>-916115.25256369822</v>
      </c>
      <c r="V64" s="68">
        <f t="shared" si="2"/>
        <v>-219310.70776957244</v>
      </c>
      <c r="W64" s="124">
        <f t="shared" si="4"/>
        <v>-1392954.7831511681</v>
      </c>
      <c r="X64" s="124">
        <f t="shared" si="19"/>
        <v>-2309070.0357148666</v>
      </c>
      <c r="Y64" s="124">
        <f>Baseline_DCF!U64</f>
        <v>-2715559.0621839571</v>
      </c>
      <c r="Z64" s="124">
        <f t="shared" si="5"/>
        <v>406489.02646909049</v>
      </c>
      <c r="AA64" s="68">
        <f t="shared" si="6"/>
        <v>97310.241092511671</v>
      </c>
      <c r="AB64" s="124">
        <f t="shared" si="7"/>
        <v>916115.25256369822</v>
      </c>
      <c r="AC64" s="124">
        <f t="shared" si="8"/>
        <v>1392954.7831511681</v>
      </c>
    </row>
    <row r="65" spans="1:29" ht="14.4" x14ac:dyDescent="0.3">
      <c r="A65" s="35">
        <f t="shared" si="9"/>
        <v>16</v>
      </c>
      <c r="B65" s="44">
        <f>1/(1+Biomass_DCF!$B$8)^A65</f>
        <v>0.21762913579014853</v>
      </c>
      <c r="C65" s="36">
        <f>IF(A65&lt;(Biomass_DCF!$B$6+1),1,0)</f>
        <v>0</v>
      </c>
      <c r="D65" s="36">
        <f>IF(A65&lt;(Biomass_DCF!$B$11+1),1,0)</f>
        <v>0</v>
      </c>
      <c r="E65" s="36">
        <f>IF(A65&lt;(Biomass_DCF!$B$12+1),1,0)</f>
        <v>1</v>
      </c>
      <c r="F65" s="98">
        <f xml:space="preserve"> -Biomass_DCF!$B$32*D65</f>
        <v>0</v>
      </c>
      <c r="G65" s="124">
        <f>-F65*Biomass_DCF!$B$9</f>
        <v>0</v>
      </c>
      <c r="H65" s="124">
        <f>-Biomass_DCF!$B$28*C65</f>
        <v>0</v>
      </c>
      <c r="I65" s="98">
        <f>J64</f>
        <v>-4.2409047195235411E-9</v>
      </c>
      <c r="J65" s="98">
        <f t="shared" si="3"/>
        <v>-4.5589725734878067E-9</v>
      </c>
      <c r="K65" s="98">
        <f>-I65*Biomass_DCF!$B$7</f>
        <v>3.1806785396426557E-10</v>
      </c>
      <c r="L65" s="124">
        <f>-(K65*Biomass_DCF!$B$9)</f>
        <v>0</v>
      </c>
      <c r="M65" s="98">
        <f t="shared" si="10"/>
        <v>-243156.12419315171</v>
      </c>
      <c r="N65" s="98">
        <f t="shared" si="11"/>
        <v>0</v>
      </c>
      <c r="O65" s="98">
        <f t="shared" si="12"/>
        <v>0</v>
      </c>
      <c r="P65" s="98">
        <f t="shared" si="13"/>
        <v>0</v>
      </c>
      <c r="Q65" s="124">
        <f t="shared" si="14"/>
        <v>-243156.12419315171</v>
      </c>
      <c r="R65" s="98">
        <f t="shared" si="15"/>
        <v>-695862.00968463894</v>
      </c>
      <c r="S65" s="98">
        <f t="shared" si="16"/>
        <v>0</v>
      </c>
      <c r="T65" s="124">
        <f t="shared" si="17"/>
        <v>-695862.00968463894</v>
      </c>
      <c r="U65" s="124">
        <f t="shared" si="18"/>
        <v>-939018.13387779065</v>
      </c>
      <c r="V65" s="68">
        <f t="shared" si="2"/>
        <v>-204357.70496710157</v>
      </c>
      <c r="W65" s="124">
        <f t="shared" si="4"/>
        <v>-1427778.6527299471</v>
      </c>
      <c r="X65" s="124">
        <f t="shared" si="19"/>
        <v>-2366796.7866077377</v>
      </c>
      <c r="Y65" s="124">
        <f>Baseline_DCF!U65</f>
        <v>-2783448.0387385557</v>
      </c>
      <c r="Z65" s="124">
        <f t="shared" si="5"/>
        <v>416651.25213081809</v>
      </c>
      <c r="AA65" s="68">
        <f t="shared" si="6"/>
        <v>90675.451927113216</v>
      </c>
      <c r="AB65" s="124">
        <f t="shared" si="7"/>
        <v>939018.13387779065</v>
      </c>
      <c r="AC65" s="124">
        <f t="shared" si="8"/>
        <v>1427778.6527299471</v>
      </c>
    </row>
    <row r="66" spans="1:29" ht="14.4" x14ac:dyDescent="0.3">
      <c r="A66" s="35">
        <f t="shared" si="9"/>
        <v>17</v>
      </c>
      <c r="B66" s="44">
        <f>1/(1+Biomass_DCF!$B$8)^A66</f>
        <v>0.19784466890013502</v>
      </c>
      <c r="C66" s="36">
        <f>IF(A66&lt;(Biomass_DCF!$B$6+1),1,0)</f>
        <v>0</v>
      </c>
      <c r="D66" s="36">
        <f>IF(A66&lt;(Biomass_DCF!$B$11+1),1,0)</f>
        <v>0</v>
      </c>
      <c r="E66" s="36">
        <f>IF(A66&lt;(Biomass_DCF!$B$12+1),1,0)</f>
        <v>1</v>
      </c>
      <c r="F66" s="98">
        <f xml:space="preserve"> -Biomass_DCF!$B$32*D66</f>
        <v>0</v>
      </c>
      <c r="G66" s="124">
        <f>-F66*Biomass_DCF!$B$9</f>
        <v>0</v>
      </c>
      <c r="H66" s="124">
        <f>-Biomass_DCF!$B$28*C66</f>
        <v>0</v>
      </c>
      <c r="I66" s="98">
        <f t="shared" ref="I66:I89" si="21">J65</f>
        <v>-4.5589725734878067E-9</v>
      </c>
      <c r="J66" s="98">
        <f t="shared" si="3"/>
        <v>-4.9008955164993921E-9</v>
      </c>
      <c r="K66" s="98">
        <f>-I66*Biomass_DCF!$B$7</f>
        <v>3.4192294301158548E-10</v>
      </c>
      <c r="L66" s="124">
        <f>-(K66*Biomass_DCF!$B$9)</f>
        <v>0</v>
      </c>
      <c r="M66" s="98">
        <f t="shared" si="10"/>
        <v>-249235.02729798047</v>
      </c>
      <c r="N66" s="98">
        <f t="shared" si="11"/>
        <v>0</v>
      </c>
      <c r="O66" s="98">
        <f t="shared" si="12"/>
        <v>0</v>
      </c>
      <c r="P66" s="98">
        <f t="shared" si="13"/>
        <v>0</v>
      </c>
      <c r="Q66" s="124">
        <f t="shared" si="14"/>
        <v>-249235.02729798047</v>
      </c>
      <c r="R66" s="98">
        <f t="shared" si="15"/>
        <v>-713258.5599267548</v>
      </c>
      <c r="S66" s="98">
        <f t="shared" si="16"/>
        <v>0</v>
      </c>
      <c r="T66" s="124">
        <f t="shared" si="17"/>
        <v>-713258.5599267548</v>
      </c>
      <c r="U66" s="124">
        <f t="shared" si="18"/>
        <v>-962493.5872247353</v>
      </c>
      <c r="V66" s="68">
        <f t="shared" si="2"/>
        <v>-190424.22508298099</v>
      </c>
      <c r="W66" s="124">
        <f t="shared" si="4"/>
        <v>-1463473.1190481957</v>
      </c>
      <c r="X66" s="124">
        <f t="shared" si="19"/>
        <v>-2425966.7062729308</v>
      </c>
      <c r="Y66" s="124">
        <f>Baseline_DCF!U66</f>
        <v>-2853034.2397070192</v>
      </c>
      <c r="Z66" s="124">
        <f t="shared" si="5"/>
        <v>427067.53343408834</v>
      </c>
      <c r="AA66" s="68">
        <f t="shared" si="6"/>
        <v>84493.034750264545</v>
      </c>
      <c r="AB66" s="124">
        <f t="shared" si="7"/>
        <v>962493.5872247353</v>
      </c>
      <c r="AC66" s="124">
        <f t="shared" si="8"/>
        <v>1463473.1190481957</v>
      </c>
    </row>
    <row r="67" spans="1:29" ht="14.4" x14ac:dyDescent="0.3">
      <c r="A67" s="35">
        <f t="shared" si="9"/>
        <v>18</v>
      </c>
      <c r="B67" s="44">
        <f>1/(1+Biomass_DCF!$B$8)^A67</f>
        <v>0.17985878990921364</v>
      </c>
      <c r="C67" s="36">
        <f>IF(A67&lt;(Biomass_DCF!$B$6+1),1,0)</f>
        <v>0</v>
      </c>
      <c r="D67" s="36">
        <f>IF(A67&lt;(Biomass_DCF!$B$11+1),1,0)</f>
        <v>0</v>
      </c>
      <c r="E67" s="36">
        <f>IF(A67&lt;(Biomass_DCF!$B$12+1),1,0)</f>
        <v>1</v>
      </c>
      <c r="F67" s="98">
        <f xml:space="preserve"> -Biomass_DCF!$B$32*D67</f>
        <v>0</v>
      </c>
      <c r="G67" s="124">
        <f>-F67*Biomass_DCF!$B$9</f>
        <v>0</v>
      </c>
      <c r="H67" s="124">
        <f>-Biomass_DCF!$B$28*C67</f>
        <v>0</v>
      </c>
      <c r="I67" s="98">
        <f t="shared" si="21"/>
        <v>-4.9008955164993921E-9</v>
      </c>
      <c r="J67" s="98">
        <f t="shared" si="3"/>
        <v>-5.2684626802368468E-9</v>
      </c>
      <c r="K67" s="98">
        <f>-I67*Biomass_DCF!$B$7</f>
        <v>3.6756716373745442E-10</v>
      </c>
      <c r="L67" s="124">
        <f>-(K67*Biomass_DCF!$B$9)</f>
        <v>0</v>
      </c>
      <c r="M67" s="98">
        <f t="shared" si="10"/>
        <v>-255465.90298042999</v>
      </c>
      <c r="N67" s="98">
        <f t="shared" si="11"/>
        <v>0</v>
      </c>
      <c r="O67" s="98">
        <f t="shared" si="12"/>
        <v>0</v>
      </c>
      <c r="P67" s="98">
        <f t="shared" si="13"/>
        <v>0</v>
      </c>
      <c r="Q67" s="124">
        <f t="shared" si="14"/>
        <v>-255465.90298042999</v>
      </c>
      <c r="R67" s="98">
        <f t="shared" si="15"/>
        <v>-731090.02392492373</v>
      </c>
      <c r="S67" s="98">
        <f t="shared" si="16"/>
        <v>0</v>
      </c>
      <c r="T67" s="124">
        <f t="shared" si="17"/>
        <v>-731090.02392492373</v>
      </c>
      <c r="U67" s="124">
        <f t="shared" si="18"/>
        <v>-986555.92690535379</v>
      </c>
      <c r="V67" s="68">
        <f t="shared" si="2"/>
        <v>-177440.75519095955</v>
      </c>
      <c r="W67" s="124">
        <f t="shared" si="4"/>
        <v>-1500059.9470244006</v>
      </c>
      <c r="X67" s="124">
        <f t="shared" si="19"/>
        <v>-2486615.8739297544</v>
      </c>
      <c r="Y67" s="124">
        <f>Baseline_DCF!U67</f>
        <v>-2924360.0956996949</v>
      </c>
      <c r="Z67" s="124">
        <f t="shared" si="5"/>
        <v>437744.22176994057</v>
      </c>
      <c r="AA67" s="68">
        <f t="shared" si="6"/>
        <v>78732.146017291961</v>
      </c>
      <c r="AB67" s="124">
        <f t="shared" si="7"/>
        <v>986555.92690535379</v>
      </c>
      <c r="AC67" s="124">
        <f t="shared" si="8"/>
        <v>1500059.9470244006</v>
      </c>
    </row>
    <row r="68" spans="1:29" ht="14.4" x14ac:dyDescent="0.3">
      <c r="A68" s="35">
        <f t="shared" si="9"/>
        <v>19</v>
      </c>
      <c r="B68" s="44">
        <f>1/(1+Biomass_DCF!$B$8)^A68</f>
        <v>0.16350799082655781</v>
      </c>
      <c r="C68" s="36">
        <f>IF(A68&lt;(Biomass_DCF!$B$6+1),1,0)</f>
        <v>0</v>
      </c>
      <c r="D68" s="36">
        <f>IF(A68&lt;(Biomass_DCF!$B$11+1),1,0)</f>
        <v>0</v>
      </c>
      <c r="E68" s="36">
        <f>IF(A68&lt;(Biomass_DCF!$B$12+1),1,0)</f>
        <v>1</v>
      </c>
      <c r="F68" s="98">
        <f xml:space="preserve"> -Biomass_DCF!$B$32*D68</f>
        <v>0</v>
      </c>
      <c r="G68" s="124">
        <f>-F68*Biomass_DCF!$B$9</f>
        <v>0</v>
      </c>
      <c r="H68" s="124">
        <f>-Biomass_DCF!$B$28*C68</f>
        <v>0</v>
      </c>
      <c r="I68" s="98">
        <f t="shared" si="21"/>
        <v>-5.2684626802368468E-9</v>
      </c>
      <c r="J68" s="98">
        <f t="shared" si="3"/>
        <v>-5.6635973812546101E-9</v>
      </c>
      <c r="K68" s="98">
        <f>-I68*Biomass_DCF!$B$7</f>
        <v>3.951347010177635E-10</v>
      </c>
      <c r="L68" s="124">
        <f>-(K68*Biomass_DCF!$B$9)</f>
        <v>0</v>
      </c>
      <c r="M68" s="98">
        <f t="shared" si="10"/>
        <v>-261852.55055494074</v>
      </c>
      <c r="N68" s="98">
        <f t="shared" si="11"/>
        <v>0</v>
      </c>
      <c r="O68" s="98">
        <f t="shared" si="12"/>
        <v>0</v>
      </c>
      <c r="P68" s="98">
        <f t="shared" si="13"/>
        <v>0</v>
      </c>
      <c r="Q68" s="124">
        <f t="shared" si="14"/>
        <v>-261852.55055494074</v>
      </c>
      <c r="R68" s="98">
        <f t="shared" si="15"/>
        <v>-749367.2745230468</v>
      </c>
      <c r="S68" s="98">
        <f t="shared" si="16"/>
        <v>0</v>
      </c>
      <c r="T68" s="124">
        <f t="shared" si="17"/>
        <v>-749367.2745230468</v>
      </c>
      <c r="U68" s="124">
        <f t="shared" si="18"/>
        <v>-1011219.8250779875</v>
      </c>
      <c r="V68" s="68">
        <f t="shared" si="2"/>
        <v>-165342.52188248499</v>
      </c>
      <c r="W68" s="124">
        <f t="shared" si="4"/>
        <v>-1537561.4457000105</v>
      </c>
      <c r="X68" s="124">
        <f t="shared" si="19"/>
        <v>-2548781.270777998</v>
      </c>
      <c r="Y68" s="124">
        <f>Baseline_DCF!U68</f>
        <v>-2997469.0980921872</v>
      </c>
      <c r="Z68" s="124">
        <f t="shared" si="5"/>
        <v>448687.82731418917</v>
      </c>
      <c r="AA68" s="68">
        <f t="shared" si="6"/>
        <v>73364.045152476596</v>
      </c>
      <c r="AB68" s="124">
        <f t="shared" si="7"/>
        <v>1011219.8250779875</v>
      </c>
      <c r="AC68" s="124">
        <f t="shared" si="8"/>
        <v>1537561.4457000105</v>
      </c>
    </row>
    <row r="69" spans="1:29" ht="14.4" x14ac:dyDescent="0.3">
      <c r="A69" s="35">
        <f t="shared" si="9"/>
        <v>20</v>
      </c>
      <c r="B69" s="44">
        <f>1/(1+Biomass_DCF!$B$8)^A69</f>
        <v>0.14864362802414349</v>
      </c>
      <c r="C69" s="36">
        <f>IF(A69&lt;(Biomass_DCF!$B$6+1),1,0)</f>
        <v>0</v>
      </c>
      <c r="D69" s="36">
        <f>IF(A69&lt;(Biomass_DCF!$B$11+1),1,0)</f>
        <v>0</v>
      </c>
      <c r="E69" s="36">
        <f>IF(A69&lt;(Biomass_DCF!$B$12+1),1,0)</f>
        <v>1</v>
      </c>
      <c r="F69" s="98">
        <f xml:space="preserve"> -Biomass_DCF!$B$32*D69</f>
        <v>0</v>
      </c>
      <c r="G69" s="124">
        <f>-F69*Biomass_DCF!$B$9</f>
        <v>0</v>
      </c>
      <c r="H69" s="124">
        <f>-Biomass_DCF!$B$28*C69</f>
        <v>0</v>
      </c>
      <c r="I69" s="98">
        <f t="shared" si="21"/>
        <v>-5.6635973812546101E-9</v>
      </c>
      <c r="J69" s="98">
        <f t="shared" si="3"/>
        <v>-6.0883671848487057E-9</v>
      </c>
      <c r="K69" s="98">
        <f>-I69*Biomass_DCF!$B$7</f>
        <v>4.2476980359409574E-10</v>
      </c>
      <c r="L69" s="124">
        <f>-(K69*Biomass_DCF!$B$9)</f>
        <v>0</v>
      </c>
      <c r="M69" s="98">
        <f t="shared" si="10"/>
        <v>-268398.86431881425</v>
      </c>
      <c r="N69" s="98">
        <f t="shared" si="11"/>
        <v>0</v>
      </c>
      <c r="O69" s="98">
        <f t="shared" si="12"/>
        <v>0</v>
      </c>
      <c r="P69" s="98">
        <f t="shared" si="13"/>
        <v>0</v>
      </c>
      <c r="Q69" s="124">
        <f t="shared" si="14"/>
        <v>-268398.86431881425</v>
      </c>
      <c r="R69" s="98">
        <f t="shared" si="15"/>
        <v>-768101.45638612297</v>
      </c>
      <c r="S69" s="98">
        <f t="shared" si="16"/>
        <v>0</v>
      </c>
      <c r="T69" s="124">
        <f t="shared" si="17"/>
        <v>-768101.45638612297</v>
      </c>
      <c r="U69" s="124">
        <f t="shared" si="18"/>
        <v>-627010.2507297321</v>
      </c>
      <c r="V69" s="68">
        <f t="shared" si="2"/>
        <v>-93201.078476795243</v>
      </c>
      <c r="W69" s="124">
        <f t="shared" si="4"/>
        <v>-1515282.2318425109</v>
      </c>
      <c r="X69" s="124">
        <f>U69+W69</f>
        <v>-2142292.4825722431</v>
      </c>
      <c r="Y69" s="124">
        <f>Baseline_DCF!U69</f>
        <v>-3072405.8255444919</v>
      </c>
      <c r="Z69" s="124">
        <f t="shared" si="5"/>
        <v>930113.34297224879</v>
      </c>
      <c r="AA69" s="68">
        <f>Z69*B69</f>
        <v>138255.42177305956</v>
      </c>
      <c r="AB69" s="124">
        <f t="shared" si="7"/>
        <v>627010.2507297321</v>
      </c>
      <c r="AC69" s="124">
        <f t="shared" si="8"/>
        <v>1515282.2318425109</v>
      </c>
    </row>
    <row r="70" spans="1:29" ht="14.4" x14ac:dyDescent="0.3">
      <c r="A70" s="35">
        <f t="shared" si="9"/>
        <v>21</v>
      </c>
      <c r="B70" s="44">
        <f>1/(1+Biomass_DCF!$B$8)^A70</f>
        <v>0.13513057093103953</v>
      </c>
      <c r="C70" s="36">
        <f>IF(A70&lt;(Biomass_DCF!$B$6+1),1,0)</f>
        <v>0</v>
      </c>
      <c r="D70" s="36">
        <f>IF(A70&lt;(Biomass_DCF!$B$11+1),1,0)</f>
        <v>0</v>
      </c>
      <c r="E70" s="36">
        <f>IF(A70&lt;(Biomass_DCF!$B$12+1),1,0)</f>
        <v>0</v>
      </c>
      <c r="F70" s="98">
        <f xml:space="preserve"> -Biomass_DCF!$B$32*D70</f>
        <v>0</v>
      </c>
      <c r="G70" s="124">
        <f>-F70*Biomass_DCF!$B$9</f>
        <v>0</v>
      </c>
      <c r="H70" s="124">
        <f>-Biomass_DCF!$B$28*C70</f>
        <v>0</v>
      </c>
      <c r="I70" s="98">
        <f t="shared" si="21"/>
        <v>-6.0883671848487057E-9</v>
      </c>
      <c r="J70" s="98">
        <f t="shared" si="3"/>
        <v>-6.5449947237123581E-9</v>
      </c>
      <c r="K70" s="98">
        <f>-I70*Biomass_DCF!$B$7</f>
        <v>4.5662753886365288E-10</v>
      </c>
      <c r="L70" s="124">
        <f>-(K70*Biomass_DCF!$B$9)</f>
        <v>0</v>
      </c>
      <c r="M70" s="98">
        <f t="shared" si="10"/>
        <v>0</v>
      </c>
      <c r="N70" s="98">
        <f t="shared" si="11"/>
        <v>0</v>
      </c>
      <c r="O70" s="98">
        <f t="shared" si="12"/>
        <v>0</v>
      </c>
      <c r="P70" s="98">
        <f t="shared" si="13"/>
        <v>0</v>
      </c>
      <c r="Q70" s="124">
        <f t="shared" si="14"/>
        <v>0</v>
      </c>
      <c r="R70" s="98">
        <f t="shared" si="15"/>
        <v>0</v>
      </c>
      <c r="S70" s="98">
        <f t="shared" si="16"/>
        <v>0</v>
      </c>
      <c r="T70" s="124">
        <f t="shared" si="17"/>
        <v>0</v>
      </c>
      <c r="U70" s="124">
        <f t="shared" si="18"/>
        <v>0</v>
      </c>
      <c r="V70" s="68">
        <f t="shared" si="2"/>
        <v>0</v>
      </c>
      <c r="W70" s="124">
        <f t="shared" si="4"/>
        <v>0</v>
      </c>
      <c r="X70" s="124">
        <f t="shared" si="19"/>
        <v>0</v>
      </c>
      <c r="Y70" s="124">
        <f>Baseline_DCF!U70</f>
        <v>0</v>
      </c>
      <c r="Z70" s="124">
        <f t="shared" si="5"/>
        <v>0</v>
      </c>
      <c r="AA70" s="68">
        <f t="shared" si="6"/>
        <v>0</v>
      </c>
      <c r="AB70" s="124">
        <f t="shared" si="7"/>
        <v>0</v>
      </c>
      <c r="AC70" s="124">
        <f t="shared" si="8"/>
        <v>0</v>
      </c>
    </row>
    <row r="71" spans="1:29" ht="14.4" x14ac:dyDescent="0.3">
      <c r="A71" s="35">
        <f t="shared" si="9"/>
        <v>22</v>
      </c>
      <c r="B71" s="44">
        <f>1/(1+Biomass_DCF!$B$8)^A71</f>
        <v>0.12284597357367227</v>
      </c>
      <c r="C71" s="36">
        <f>IF(A71&lt;(Biomass_DCF!$B$6+1),1,0)</f>
        <v>0</v>
      </c>
      <c r="D71" s="36">
        <f>IF(A71&lt;(Biomass_DCF!$B$11+1),1,0)</f>
        <v>0</v>
      </c>
      <c r="E71" s="36">
        <f>IF(A71&lt;(Biomass_DCF!$B$12+1),1,0)</f>
        <v>0</v>
      </c>
      <c r="F71" s="98">
        <f xml:space="preserve"> -Biomass_DCF!$B$32*D71</f>
        <v>0</v>
      </c>
      <c r="G71" s="124">
        <f>-F71*Biomass_DCF!$B$9</f>
        <v>0</v>
      </c>
      <c r="H71" s="124">
        <f>-Biomass_DCF!$B$28*C71</f>
        <v>0</v>
      </c>
      <c r="I71" s="98">
        <f t="shared" si="21"/>
        <v>-6.5449947237123581E-9</v>
      </c>
      <c r="J71" s="98">
        <f t="shared" si="3"/>
        <v>-7.0358693279907851E-9</v>
      </c>
      <c r="K71" s="98">
        <f>-I71*Biomass_DCF!$B$7</f>
        <v>4.908746042784268E-10</v>
      </c>
      <c r="L71" s="124">
        <f>-(K71*Biomass_DCF!$B$9)</f>
        <v>0</v>
      </c>
      <c r="M71" s="98">
        <f t="shared" si="10"/>
        <v>0</v>
      </c>
      <c r="N71" s="98">
        <f t="shared" si="11"/>
        <v>0</v>
      </c>
      <c r="O71" s="98">
        <f t="shared" si="12"/>
        <v>0</v>
      </c>
      <c r="P71" s="98">
        <f t="shared" si="13"/>
        <v>0</v>
      </c>
      <c r="Q71" s="124">
        <f t="shared" si="14"/>
        <v>0</v>
      </c>
      <c r="R71" s="98">
        <f t="shared" si="15"/>
        <v>0</v>
      </c>
      <c r="S71" s="98">
        <f t="shared" si="16"/>
        <v>0</v>
      </c>
      <c r="T71" s="124">
        <f t="shared" si="17"/>
        <v>0</v>
      </c>
      <c r="U71" s="124">
        <f t="shared" si="18"/>
        <v>0</v>
      </c>
      <c r="V71" s="68">
        <f t="shared" si="2"/>
        <v>0</v>
      </c>
      <c r="W71" s="124">
        <f t="shared" si="4"/>
        <v>0</v>
      </c>
      <c r="X71" s="124">
        <f t="shared" si="19"/>
        <v>0</v>
      </c>
      <c r="Y71" s="124">
        <f>Baseline_DCF!U71</f>
        <v>0</v>
      </c>
      <c r="Z71" s="124">
        <f t="shared" si="5"/>
        <v>0</v>
      </c>
      <c r="AA71" s="68">
        <f t="shared" si="6"/>
        <v>0</v>
      </c>
      <c r="AB71" s="124">
        <f t="shared" si="7"/>
        <v>0</v>
      </c>
      <c r="AC71" s="124">
        <f t="shared" si="8"/>
        <v>0</v>
      </c>
    </row>
    <row r="72" spans="1:29" ht="14.4" x14ac:dyDescent="0.3">
      <c r="A72" s="35">
        <f t="shared" si="9"/>
        <v>23</v>
      </c>
      <c r="B72" s="44">
        <f>1/(1+Biomass_DCF!$B$8)^A72</f>
        <v>0.11167815779424752</v>
      </c>
      <c r="C72" s="36">
        <f>IF(A72&lt;(Biomass_DCF!$B$6+1),1,0)</f>
        <v>0</v>
      </c>
      <c r="D72" s="36">
        <f>IF(A72&lt;(Biomass_DCF!$B$11+1),1,0)</f>
        <v>0</v>
      </c>
      <c r="E72" s="36">
        <f>IF(A72&lt;(Biomass_DCF!$B$12+1),1,0)</f>
        <v>0</v>
      </c>
      <c r="F72" s="98">
        <f xml:space="preserve"> -Biomass_DCF!$B$32*D72</f>
        <v>0</v>
      </c>
      <c r="G72" s="124">
        <f>-F72*Biomass_DCF!$B$9</f>
        <v>0</v>
      </c>
      <c r="H72" s="124">
        <f>-Biomass_DCF!$B$28*C72</f>
        <v>0</v>
      </c>
      <c r="I72" s="98">
        <f t="shared" si="21"/>
        <v>-7.0358693279907851E-9</v>
      </c>
      <c r="J72" s="98">
        <f t="shared" si="3"/>
        <v>-7.5635595275900941E-9</v>
      </c>
      <c r="K72" s="98">
        <f>-I72*Biomass_DCF!$B$7</f>
        <v>5.2769019959930888E-10</v>
      </c>
      <c r="L72" s="124">
        <f>-(K72*Biomass_DCF!$B$9)</f>
        <v>0</v>
      </c>
      <c r="M72" s="98">
        <f t="shared" si="10"/>
        <v>0</v>
      </c>
      <c r="N72" s="98">
        <f t="shared" si="11"/>
        <v>0</v>
      </c>
      <c r="O72" s="98">
        <f t="shared" si="12"/>
        <v>0</v>
      </c>
      <c r="P72" s="98">
        <f t="shared" si="13"/>
        <v>0</v>
      </c>
      <c r="Q72" s="124">
        <f t="shared" si="14"/>
        <v>0</v>
      </c>
      <c r="R72" s="98">
        <f t="shared" si="15"/>
        <v>0</v>
      </c>
      <c r="S72" s="98">
        <f t="shared" si="16"/>
        <v>0</v>
      </c>
      <c r="T72" s="124">
        <f t="shared" si="17"/>
        <v>0</v>
      </c>
      <c r="U72" s="124">
        <f t="shared" si="18"/>
        <v>0</v>
      </c>
      <c r="V72" s="68">
        <f t="shared" si="2"/>
        <v>0</v>
      </c>
      <c r="W72" s="124">
        <f t="shared" si="4"/>
        <v>0</v>
      </c>
      <c r="X72" s="124">
        <f t="shared" si="19"/>
        <v>0</v>
      </c>
      <c r="Y72" s="124">
        <f>Baseline_DCF!U72</f>
        <v>0</v>
      </c>
      <c r="Z72" s="124">
        <f t="shared" si="5"/>
        <v>0</v>
      </c>
      <c r="AA72" s="68">
        <f t="shared" si="6"/>
        <v>0</v>
      </c>
      <c r="AB72" s="124">
        <f t="shared" si="7"/>
        <v>0</v>
      </c>
      <c r="AC72" s="124">
        <f t="shared" si="8"/>
        <v>0</v>
      </c>
    </row>
    <row r="73" spans="1:29" ht="14.4" x14ac:dyDescent="0.3">
      <c r="A73" s="35">
        <f t="shared" si="9"/>
        <v>24</v>
      </c>
      <c r="B73" s="44">
        <f>1/(1+Biomass_DCF!$B$8)^A73</f>
        <v>0.10152559799477048</v>
      </c>
      <c r="C73" s="36">
        <f>IF(A73&lt;(Biomass_DCF!$B$6+1),1,0)</f>
        <v>0</v>
      </c>
      <c r="D73" s="36">
        <f>IF(A73&lt;(Biomass_DCF!$B$11+1),1,0)</f>
        <v>0</v>
      </c>
      <c r="E73" s="36">
        <f>IF(A73&lt;(Biomass_DCF!$B$12+1),1,0)</f>
        <v>0</v>
      </c>
      <c r="F73" s="98">
        <f xml:space="preserve"> -Biomass_DCF!$B$32*D73</f>
        <v>0</v>
      </c>
      <c r="G73" s="124">
        <f>-F73*Biomass_DCF!$B$9</f>
        <v>0</v>
      </c>
      <c r="H73" s="124">
        <f>-Biomass_DCF!$B$28*C73</f>
        <v>0</v>
      </c>
      <c r="I73" s="98">
        <f t="shared" si="21"/>
        <v>-7.5635595275900941E-9</v>
      </c>
      <c r="J73" s="98">
        <f t="shared" si="3"/>
        <v>-8.1308264921593513E-9</v>
      </c>
      <c r="K73" s="98">
        <f>-I73*Biomass_DCF!$B$7</f>
        <v>5.6726696456925704E-10</v>
      </c>
      <c r="L73" s="124">
        <f>-(K73*Biomass_DCF!$B$9)</f>
        <v>0</v>
      </c>
      <c r="M73" s="98">
        <f t="shared" si="10"/>
        <v>0</v>
      </c>
      <c r="N73" s="98">
        <f t="shared" si="11"/>
        <v>0</v>
      </c>
      <c r="O73" s="98">
        <f t="shared" si="12"/>
        <v>0</v>
      </c>
      <c r="P73" s="98">
        <f t="shared" si="13"/>
        <v>0</v>
      </c>
      <c r="Q73" s="124">
        <f t="shared" si="14"/>
        <v>0</v>
      </c>
      <c r="R73" s="98">
        <f t="shared" si="15"/>
        <v>0</v>
      </c>
      <c r="S73" s="98">
        <f t="shared" si="16"/>
        <v>0</v>
      </c>
      <c r="T73" s="124">
        <f t="shared" si="17"/>
        <v>0</v>
      </c>
      <c r="U73" s="124">
        <f t="shared" si="18"/>
        <v>0</v>
      </c>
      <c r="V73" s="68">
        <f t="shared" si="2"/>
        <v>0</v>
      </c>
      <c r="W73" s="124">
        <f t="shared" si="4"/>
        <v>0</v>
      </c>
      <c r="X73" s="124">
        <f t="shared" si="19"/>
        <v>0</v>
      </c>
      <c r="Y73" s="124">
        <f>Baseline_DCF!U73</f>
        <v>0</v>
      </c>
      <c r="Z73" s="124">
        <f t="shared" si="5"/>
        <v>0</v>
      </c>
      <c r="AA73" s="68">
        <f t="shared" si="6"/>
        <v>0</v>
      </c>
      <c r="AB73" s="124">
        <f t="shared" si="7"/>
        <v>0</v>
      </c>
      <c r="AC73" s="124">
        <f t="shared" si="8"/>
        <v>0</v>
      </c>
    </row>
    <row r="74" spans="1:29" ht="14.4" x14ac:dyDescent="0.3">
      <c r="A74" s="35">
        <f t="shared" si="9"/>
        <v>25</v>
      </c>
      <c r="B74" s="44">
        <f>1/(1+Biomass_DCF!$B$8)^A74</f>
        <v>9.2295998177064048E-2</v>
      </c>
      <c r="C74" s="36">
        <f>IF(A74&lt;(Biomass_DCF!$B$6+1),1,0)</f>
        <v>0</v>
      </c>
      <c r="D74" s="36">
        <f>IF(A74&lt;(Biomass_DCF!$B$11+1),1,0)</f>
        <v>0</v>
      </c>
      <c r="E74" s="36">
        <f>IF(A74&lt;(Biomass_DCF!$B$12+1),1,0)</f>
        <v>0</v>
      </c>
      <c r="F74" s="98">
        <f xml:space="preserve"> -Biomass_DCF!$B$32*D74</f>
        <v>0</v>
      </c>
      <c r="G74" s="124">
        <f>-F74*Biomass_DCF!$B$9</f>
        <v>0</v>
      </c>
      <c r="H74" s="124">
        <f>-Biomass_DCF!$B$28*C74</f>
        <v>0</v>
      </c>
      <c r="I74" s="98">
        <f t="shared" si="21"/>
        <v>-8.1308264921593513E-9</v>
      </c>
      <c r="J74" s="98">
        <f t="shared" si="3"/>
        <v>-8.7406384790713024E-9</v>
      </c>
      <c r="K74" s="98">
        <f>-I74*Biomass_DCF!$B$7</f>
        <v>6.098119869119513E-10</v>
      </c>
      <c r="L74" s="124">
        <f>-(K74*Biomass_DCF!$B$9)</f>
        <v>0</v>
      </c>
      <c r="M74" s="98">
        <f t="shared" si="10"/>
        <v>0</v>
      </c>
      <c r="N74" s="98">
        <f t="shared" si="11"/>
        <v>0</v>
      </c>
      <c r="O74" s="98">
        <f t="shared" si="12"/>
        <v>0</v>
      </c>
      <c r="P74" s="98">
        <f t="shared" si="13"/>
        <v>0</v>
      </c>
      <c r="Q74" s="124">
        <f t="shared" si="14"/>
        <v>0</v>
      </c>
      <c r="R74" s="98">
        <f t="shared" si="15"/>
        <v>0</v>
      </c>
      <c r="S74" s="98">
        <f t="shared" si="16"/>
        <v>0</v>
      </c>
      <c r="T74" s="124">
        <f t="shared" si="17"/>
        <v>0</v>
      </c>
      <c r="U74" s="124">
        <f t="shared" si="18"/>
        <v>0</v>
      </c>
      <c r="V74" s="68">
        <f t="shared" si="2"/>
        <v>0</v>
      </c>
      <c r="W74" s="124">
        <f t="shared" si="4"/>
        <v>0</v>
      </c>
      <c r="X74" s="124">
        <f t="shared" si="19"/>
        <v>0</v>
      </c>
      <c r="Y74" s="124">
        <f>Baseline_DCF!U74</f>
        <v>0</v>
      </c>
      <c r="Z74" s="124">
        <f t="shared" si="5"/>
        <v>0</v>
      </c>
      <c r="AA74" s="68">
        <f t="shared" si="6"/>
        <v>0</v>
      </c>
      <c r="AB74" s="124">
        <f t="shared" si="7"/>
        <v>0</v>
      </c>
      <c r="AC74" s="124">
        <f t="shared" si="8"/>
        <v>0</v>
      </c>
    </row>
    <row r="75" spans="1:29" ht="14.4" x14ac:dyDescent="0.3">
      <c r="A75" s="35">
        <f t="shared" si="9"/>
        <v>26</v>
      </c>
      <c r="B75" s="44">
        <f>1/(1+Biomass_DCF!$B$8)^A75</f>
        <v>8.3905452888240042E-2</v>
      </c>
      <c r="C75" s="36">
        <f>IF(A75&lt;(Biomass_DCF!$B$6+1),1,0)</f>
        <v>0</v>
      </c>
      <c r="D75" s="36">
        <f>IF(A75&lt;(Biomass_DCF!$B$11+1),1,0)</f>
        <v>0</v>
      </c>
      <c r="E75" s="36">
        <f>IF(A75&lt;(Biomass_DCF!$B$12+1),1,0)</f>
        <v>0</v>
      </c>
      <c r="F75" s="98">
        <f xml:space="preserve"> -Biomass_DCF!$B$32*D75</f>
        <v>0</v>
      </c>
      <c r="G75" s="124">
        <f>-F75*Biomass_DCF!$B$9</f>
        <v>0</v>
      </c>
      <c r="H75" s="124">
        <f>-Biomass_DCF!$B$28*C75</f>
        <v>0</v>
      </c>
      <c r="I75" s="98">
        <f t="shared" si="21"/>
        <v>-8.7406384790713024E-9</v>
      </c>
      <c r="J75" s="98">
        <f t="shared" si="3"/>
        <v>-9.3961863650016509E-9</v>
      </c>
      <c r="K75" s="98">
        <f>-I75*Biomass_DCF!$B$7</f>
        <v>6.5554788593034768E-10</v>
      </c>
      <c r="L75" s="124">
        <f>-(K75*Biomass_DCF!$B$9)</f>
        <v>0</v>
      </c>
      <c r="M75" s="98">
        <f t="shared" si="10"/>
        <v>0</v>
      </c>
      <c r="N75" s="98">
        <f t="shared" si="11"/>
        <v>0</v>
      </c>
      <c r="O75" s="98">
        <f t="shared" si="12"/>
        <v>0</v>
      </c>
      <c r="P75" s="98">
        <f t="shared" si="13"/>
        <v>0</v>
      </c>
      <c r="Q75" s="124">
        <f t="shared" si="14"/>
        <v>0</v>
      </c>
      <c r="R75" s="98">
        <f t="shared" si="15"/>
        <v>0</v>
      </c>
      <c r="S75" s="98">
        <f t="shared" si="16"/>
        <v>0</v>
      </c>
      <c r="T75" s="124">
        <f t="shared" si="17"/>
        <v>0</v>
      </c>
      <c r="U75" s="124">
        <f t="shared" si="18"/>
        <v>0</v>
      </c>
      <c r="V75" s="68">
        <f t="shared" si="2"/>
        <v>0</v>
      </c>
      <c r="W75" s="124">
        <f t="shared" si="4"/>
        <v>0</v>
      </c>
      <c r="X75" s="124">
        <f t="shared" si="19"/>
        <v>0</v>
      </c>
      <c r="Y75" s="124">
        <f>Baseline_DCF!U75</f>
        <v>0</v>
      </c>
      <c r="Z75" s="124">
        <f t="shared" si="5"/>
        <v>0</v>
      </c>
      <c r="AA75" s="68">
        <f t="shared" si="6"/>
        <v>0</v>
      </c>
      <c r="AB75" s="124">
        <f t="shared" si="7"/>
        <v>0</v>
      </c>
      <c r="AC75" s="124">
        <f t="shared" si="8"/>
        <v>0</v>
      </c>
    </row>
    <row r="76" spans="1:29" ht="14.4" x14ac:dyDescent="0.3">
      <c r="A76" s="35">
        <f t="shared" si="9"/>
        <v>27</v>
      </c>
      <c r="B76" s="44">
        <f>1/(1+Biomass_DCF!$B$8)^A76</f>
        <v>7.6277684443854576E-2</v>
      </c>
      <c r="C76" s="36">
        <f>IF(A76&lt;(Biomass_DCF!$B$6+1),1,0)</f>
        <v>0</v>
      </c>
      <c r="D76" s="36">
        <f>IF(A76&lt;(Biomass_DCF!$B$11+1),1,0)</f>
        <v>0</v>
      </c>
      <c r="E76" s="36">
        <f>IF(A76&lt;(Biomass_DCF!$B$12+1),1,0)</f>
        <v>0</v>
      </c>
      <c r="F76" s="98">
        <f xml:space="preserve"> -Biomass_DCF!$B$32*D76</f>
        <v>0</v>
      </c>
      <c r="G76" s="124">
        <f>-F76*Biomass_DCF!$B$9</f>
        <v>0</v>
      </c>
      <c r="H76" s="124">
        <f>-Biomass_DCF!$B$28*C76</f>
        <v>0</v>
      </c>
      <c r="I76" s="98">
        <f t="shared" si="21"/>
        <v>-9.3961863650016509E-9</v>
      </c>
      <c r="J76" s="98">
        <f t="shared" si="3"/>
        <v>-1.0100900342376774E-8</v>
      </c>
      <c r="K76" s="98">
        <f>-I76*Biomass_DCF!$B$7</f>
        <v>7.0471397737512377E-10</v>
      </c>
      <c r="L76" s="124">
        <f>-(K76*Biomass_DCF!$B$9)</f>
        <v>0</v>
      </c>
      <c r="M76" s="98">
        <f t="shared" si="10"/>
        <v>0</v>
      </c>
      <c r="N76" s="98">
        <f t="shared" si="11"/>
        <v>0</v>
      </c>
      <c r="O76" s="98">
        <f t="shared" si="12"/>
        <v>0</v>
      </c>
      <c r="P76" s="98">
        <f t="shared" si="13"/>
        <v>0</v>
      </c>
      <c r="Q76" s="124">
        <f t="shared" si="14"/>
        <v>0</v>
      </c>
      <c r="R76" s="98">
        <f t="shared" si="15"/>
        <v>0</v>
      </c>
      <c r="S76" s="98">
        <f t="shared" si="16"/>
        <v>0</v>
      </c>
      <c r="T76" s="124">
        <f t="shared" si="17"/>
        <v>0</v>
      </c>
      <c r="U76" s="124">
        <f t="shared" si="18"/>
        <v>0</v>
      </c>
      <c r="V76" s="68">
        <f t="shared" si="2"/>
        <v>0</v>
      </c>
      <c r="W76" s="124">
        <f t="shared" si="4"/>
        <v>0</v>
      </c>
      <c r="X76" s="124">
        <f t="shared" si="19"/>
        <v>0</v>
      </c>
      <c r="Y76" s="124">
        <f>Baseline_DCF!U76</f>
        <v>0</v>
      </c>
      <c r="Z76" s="124">
        <f t="shared" si="5"/>
        <v>0</v>
      </c>
      <c r="AA76" s="68">
        <f t="shared" si="6"/>
        <v>0</v>
      </c>
      <c r="AB76" s="124">
        <f t="shared" si="7"/>
        <v>0</v>
      </c>
      <c r="AC76" s="124">
        <f t="shared" si="8"/>
        <v>0</v>
      </c>
    </row>
    <row r="77" spans="1:29" ht="14.4" x14ac:dyDescent="0.3">
      <c r="A77" s="35">
        <f t="shared" si="9"/>
        <v>28</v>
      </c>
      <c r="B77" s="44">
        <f>1/(1+Biomass_DCF!$B$8)^A77</f>
        <v>6.9343349494413245E-2</v>
      </c>
      <c r="C77" s="36">
        <f>IF(A77&lt;(Biomass_DCF!$B$6+1),1,0)</f>
        <v>0</v>
      </c>
      <c r="D77" s="36">
        <f>IF(A77&lt;(Biomass_DCF!$B$11+1),1,0)</f>
        <v>0</v>
      </c>
      <c r="E77" s="36">
        <f>IF(A77&lt;(Biomass_DCF!$B$12+1),1,0)</f>
        <v>0</v>
      </c>
      <c r="F77" s="98">
        <f xml:space="preserve"> -Biomass_DCF!$B$32*D77</f>
        <v>0</v>
      </c>
      <c r="G77" s="124">
        <f>-F77*Biomass_DCF!$B$9</f>
        <v>0</v>
      </c>
      <c r="H77" s="124">
        <f>-Biomass_DCF!$B$28*C77</f>
        <v>0</v>
      </c>
      <c r="I77" s="98">
        <f t="shared" si="21"/>
        <v>-1.0100900342376774E-8</v>
      </c>
      <c r="J77" s="98">
        <f t="shared" si="3"/>
        <v>-1.0858467868055031E-8</v>
      </c>
      <c r="K77" s="98">
        <f>-I77*Biomass_DCF!$B$7</f>
        <v>7.5756752567825805E-10</v>
      </c>
      <c r="L77" s="124">
        <f>-(K77*Biomass_DCF!$B$9)</f>
        <v>0</v>
      </c>
      <c r="M77" s="98">
        <f t="shared" si="10"/>
        <v>0</v>
      </c>
      <c r="N77" s="98">
        <f t="shared" si="11"/>
        <v>0</v>
      </c>
      <c r="O77" s="98">
        <f t="shared" si="12"/>
        <v>0</v>
      </c>
      <c r="P77" s="98">
        <f t="shared" si="13"/>
        <v>0</v>
      </c>
      <c r="Q77" s="124">
        <f t="shared" si="14"/>
        <v>0</v>
      </c>
      <c r="R77" s="98">
        <f t="shared" si="15"/>
        <v>0</v>
      </c>
      <c r="S77" s="98">
        <f t="shared" si="16"/>
        <v>0</v>
      </c>
      <c r="T77" s="124">
        <f t="shared" si="17"/>
        <v>0</v>
      </c>
      <c r="U77" s="124">
        <f t="shared" si="18"/>
        <v>0</v>
      </c>
      <c r="V77" s="68">
        <f t="shared" si="2"/>
        <v>0</v>
      </c>
      <c r="W77" s="124">
        <f t="shared" si="4"/>
        <v>0</v>
      </c>
      <c r="X77" s="124">
        <f t="shared" si="19"/>
        <v>0</v>
      </c>
      <c r="Y77" s="124">
        <f>Baseline_DCF!U77</f>
        <v>0</v>
      </c>
      <c r="Z77" s="124">
        <f t="shared" si="5"/>
        <v>0</v>
      </c>
      <c r="AA77" s="68">
        <f t="shared" si="6"/>
        <v>0</v>
      </c>
      <c r="AB77" s="124">
        <f t="shared" si="7"/>
        <v>0</v>
      </c>
      <c r="AC77" s="124">
        <f t="shared" si="8"/>
        <v>0</v>
      </c>
    </row>
    <row r="78" spans="1:29" ht="14.4" x14ac:dyDescent="0.3">
      <c r="A78" s="35">
        <f t="shared" si="9"/>
        <v>29</v>
      </c>
      <c r="B78" s="44">
        <f>1/(1+Biomass_DCF!$B$8)^A78</f>
        <v>6.3039408631284766E-2</v>
      </c>
      <c r="C78" s="36">
        <f>IF(A78&lt;(Biomass_DCF!$B$6+1),1,0)</f>
        <v>0</v>
      </c>
      <c r="D78" s="36">
        <f>IF(A78&lt;(Biomass_DCF!$B$11+1),1,0)</f>
        <v>0</v>
      </c>
      <c r="E78" s="36">
        <f>IF(A78&lt;(Biomass_DCF!$B$12+1),1,0)</f>
        <v>0</v>
      </c>
      <c r="F78" s="98">
        <f xml:space="preserve"> -Biomass_DCF!$B$32*D78</f>
        <v>0</v>
      </c>
      <c r="G78" s="124">
        <f>-F78*Biomass_DCF!$B$9</f>
        <v>0</v>
      </c>
      <c r="H78" s="124">
        <f>-Biomass_DCF!$B$28*C78</f>
        <v>0</v>
      </c>
      <c r="I78" s="98">
        <f t="shared" si="21"/>
        <v>-1.0858467868055031E-8</v>
      </c>
      <c r="J78" s="98">
        <f t="shared" si="3"/>
        <v>-1.1672852958159159E-8</v>
      </c>
      <c r="K78" s="98">
        <f>-I78*Biomass_DCF!$B$7</f>
        <v>8.1438509010412732E-10</v>
      </c>
      <c r="L78" s="124">
        <f>-(K78*Biomass_DCF!$B$9)</f>
        <v>0</v>
      </c>
      <c r="M78" s="98">
        <f t="shared" si="10"/>
        <v>0</v>
      </c>
      <c r="N78" s="98">
        <f t="shared" si="11"/>
        <v>0</v>
      </c>
      <c r="O78" s="98">
        <f t="shared" si="12"/>
        <v>0</v>
      </c>
      <c r="P78" s="98">
        <f t="shared" si="13"/>
        <v>0</v>
      </c>
      <c r="Q78" s="124">
        <f t="shared" si="14"/>
        <v>0</v>
      </c>
      <c r="R78" s="98">
        <f t="shared" si="15"/>
        <v>0</v>
      </c>
      <c r="S78" s="98">
        <f t="shared" si="16"/>
        <v>0</v>
      </c>
      <c r="T78" s="124">
        <f t="shared" si="17"/>
        <v>0</v>
      </c>
      <c r="U78" s="124">
        <f t="shared" si="18"/>
        <v>0</v>
      </c>
      <c r="V78" s="68">
        <f t="shared" si="2"/>
        <v>0</v>
      </c>
      <c r="W78" s="124">
        <f t="shared" si="4"/>
        <v>0</v>
      </c>
      <c r="X78" s="124">
        <f t="shared" si="19"/>
        <v>0</v>
      </c>
      <c r="Y78" s="124">
        <f>Baseline_DCF!U78</f>
        <v>0</v>
      </c>
      <c r="Z78" s="124">
        <f t="shared" si="5"/>
        <v>0</v>
      </c>
      <c r="AA78" s="68">
        <f t="shared" si="6"/>
        <v>0</v>
      </c>
      <c r="AB78" s="124">
        <f t="shared" si="7"/>
        <v>0</v>
      </c>
      <c r="AC78" s="124">
        <f t="shared" si="8"/>
        <v>0</v>
      </c>
    </row>
    <row r="79" spans="1:29" ht="14.4" x14ac:dyDescent="0.3">
      <c r="A79" s="35">
        <f t="shared" si="9"/>
        <v>30</v>
      </c>
      <c r="B79" s="44">
        <f>1/(1+Biomass_DCF!$B$8)^A79</f>
        <v>5.7308553301167964E-2</v>
      </c>
      <c r="C79" s="36">
        <f>IF(A79&lt;(Biomass_DCF!$B$6+1),1,0)</f>
        <v>0</v>
      </c>
      <c r="D79" s="36">
        <f>IF(A79&lt;(Biomass_DCF!$B$11+1),1,0)</f>
        <v>0</v>
      </c>
      <c r="E79" s="36">
        <f>IF(A79&lt;(Biomass_DCF!$B$12+1),1,0)</f>
        <v>0</v>
      </c>
      <c r="F79" s="98">
        <f xml:space="preserve"> -Biomass_DCF!$B$32*D79</f>
        <v>0</v>
      </c>
      <c r="G79" s="124">
        <f>-F79*Biomass_DCF!$B$9</f>
        <v>0</v>
      </c>
      <c r="H79" s="124">
        <f>-Biomass_DCF!$B$28*C79</f>
        <v>0</v>
      </c>
      <c r="I79" s="98">
        <f t="shared" si="21"/>
        <v>-1.1672852958159159E-8</v>
      </c>
      <c r="J79" s="98">
        <f t="shared" si="3"/>
        <v>-1.2548316930021095E-8</v>
      </c>
      <c r="K79" s="98">
        <f>-I79*Biomass_DCF!$B$7</f>
        <v>8.7546397186193692E-10</v>
      </c>
      <c r="L79" s="124">
        <f>-(K79*Biomass_DCF!$B$9)</f>
        <v>0</v>
      </c>
      <c r="M79" s="98">
        <f t="shared" si="10"/>
        <v>0</v>
      </c>
      <c r="N79" s="98">
        <f t="shared" si="11"/>
        <v>0</v>
      </c>
      <c r="O79" s="98">
        <f t="shared" si="12"/>
        <v>0</v>
      </c>
      <c r="P79" s="98">
        <f t="shared" si="13"/>
        <v>0</v>
      </c>
      <c r="Q79" s="124">
        <f t="shared" si="14"/>
        <v>0</v>
      </c>
      <c r="R79" s="98">
        <f t="shared" si="15"/>
        <v>0</v>
      </c>
      <c r="S79" s="98">
        <f t="shared" si="16"/>
        <v>0</v>
      </c>
      <c r="T79" s="124">
        <f t="shared" si="17"/>
        <v>0</v>
      </c>
      <c r="U79" s="124">
        <f t="shared" si="18"/>
        <v>0</v>
      </c>
      <c r="V79" s="68">
        <f t="shared" si="2"/>
        <v>0</v>
      </c>
      <c r="W79" s="124">
        <f t="shared" si="4"/>
        <v>0</v>
      </c>
      <c r="X79" s="124">
        <f t="shared" si="19"/>
        <v>0</v>
      </c>
      <c r="Y79" s="124">
        <f>Baseline_DCF!U79</f>
        <v>0</v>
      </c>
      <c r="Z79" s="124">
        <f t="shared" si="5"/>
        <v>0</v>
      </c>
      <c r="AA79" s="68">
        <f t="shared" si="6"/>
        <v>0</v>
      </c>
      <c r="AB79" s="124">
        <f t="shared" si="7"/>
        <v>0</v>
      </c>
      <c r="AC79" s="124">
        <f t="shared" si="8"/>
        <v>0</v>
      </c>
    </row>
    <row r="80" spans="1:29" ht="14.4" x14ac:dyDescent="0.3">
      <c r="A80" s="35">
        <f t="shared" si="9"/>
        <v>31</v>
      </c>
      <c r="B80" s="44">
        <f>1/(1+Biomass_DCF!$B$8)^A80</f>
        <v>5.2098684819243603E-2</v>
      </c>
      <c r="C80" s="36">
        <f>IF(A80&lt;(Biomass_DCF!$B$6+1),1,0)</f>
        <v>0</v>
      </c>
      <c r="D80" s="36">
        <f>IF(A80&lt;(Biomass_DCF!$B$11+1),1,0)</f>
        <v>0</v>
      </c>
      <c r="E80" s="36">
        <f>IF(A80&lt;(Biomass_DCF!$B$12+1),1,0)</f>
        <v>0</v>
      </c>
      <c r="F80" s="98">
        <f xml:space="preserve"> -Biomass_DCF!$B$32*D80</f>
        <v>0</v>
      </c>
      <c r="G80" s="124">
        <f>-F80*Biomass_DCF!$B$9</f>
        <v>0</v>
      </c>
      <c r="H80" s="124">
        <f>-Biomass_DCF!$B$28*C80</f>
        <v>0</v>
      </c>
      <c r="I80" s="98">
        <f t="shared" si="21"/>
        <v>-1.2548316930021095E-8</v>
      </c>
      <c r="J80" s="98">
        <f t="shared" si="3"/>
        <v>-1.3489440699772677E-8</v>
      </c>
      <c r="K80" s="98">
        <f>-I80*Biomass_DCF!$B$7</f>
        <v>9.4112376975158215E-10</v>
      </c>
      <c r="L80" s="124">
        <f>-(K80*Biomass_DCF!$B$9)</f>
        <v>0</v>
      </c>
      <c r="M80" s="98">
        <f t="shared" si="10"/>
        <v>0</v>
      </c>
      <c r="N80" s="98">
        <f t="shared" si="11"/>
        <v>0</v>
      </c>
      <c r="O80" s="98">
        <f t="shared" si="12"/>
        <v>0</v>
      </c>
      <c r="P80" s="98">
        <f t="shared" si="13"/>
        <v>0</v>
      </c>
      <c r="Q80" s="124">
        <f t="shared" si="14"/>
        <v>0</v>
      </c>
      <c r="R80" s="98">
        <f t="shared" si="15"/>
        <v>0</v>
      </c>
      <c r="S80" s="98">
        <f t="shared" si="16"/>
        <v>0</v>
      </c>
      <c r="T80" s="124">
        <f t="shared" si="17"/>
        <v>0</v>
      </c>
      <c r="U80" s="124">
        <f t="shared" si="18"/>
        <v>0</v>
      </c>
      <c r="V80" s="68">
        <f t="shared" si="2"/>
        <v>0</v>
      </c>
      <c r="W80" s="124">
        <f t="shared" si="4"/>
        <v>0</v>
      </c>
      <c r="X80" s="124">
        <f t="shared" si="19"/>
        <v>0</v>
      </c>
      <c r="Y80" s="124">
        <f>Baseline_DCF!U80</f>
        <v>0</v>
      </c>
      <c r="Z80" s="124">
        <f t="shared" si="5"/>
        <v>0</v>
      </c>
      <c r="AA80" s="68">
        <f t="shared" si="6"/>
        <v>0</v>
      </c>
      <c r="AB80" s="124">
        <f t="shared" si="7"/>
        <v>0</v>
      </c>
      <c r="AC80" s="124">
        <f t="shared" si="8"/>
        <v>0</v>
      </c>
    </row>
    <row r="81" spans="1:29" ht="14.4" x14ac:dyDescent="0.3">
      <c r="A81" s="35">
        <f t="shared" si="9"/>
        <v>32</v>
      </c>
      <c r="B81" s="44">
        <f>1/(1+Biomass_DCF!$B$8)^A81</f>
        <v>4.7362440744766907E-2</v>
      </c>
      <c r="C81" s="36">
        <f>IF(A81&lt;(Biomass_DCF!$B$6+1),1,0)</f>
        <v>0</v>
      </c>
      <c r="D81" s="36">
        <f>IF(A81&lt;(Biomass_DCF!$B$11+1),1,0)</f>
        <v>0</v>
      </c>
      <c r="E81" s="36">
        <f>IF(A81&lt;(Biomass_DCF!$B$12+1),1,0)</f>
        <v>0</v>
      </c>
      <c r="F81" s="98">
        <f xml:space="preserve"> -Biomass_DCF!$B$32*D81</f>
        <v>0</v>
      </c>
      <c r="G81" s="124">
        <f>-F81*Biomass_DCF!$B$9</f>
        <v>0</v>
      </c>
      <c r="H81" s="124">
        <f>-Biomass_DCF!$B$28*C81</f>
        <v>0</v>
      </c>
      <c r="I81" s="98">
        <f t="shared" si="21"/>
        <v>-1.3489440699772677E-8</v>
      </c>
      <c r="J81" s="98">
        <f t="shared" si="3"/>
        <v>-1.4501148752255628E-8</v>
      </c>
      <c r="K81" s="98">
        <f>-I81*Biomass_DCF!$B$7</f>
        <v>1.0117080524829507E-9</v>
      </c>
      <c r="L81" s="124">
        <f>-(K81*Biomass_DCF!$B$9)</f>
        <v>0</v>
      </c>
      <c r="M81" s="98">
        <f t="shared" si="10"/>
        <v>0</v>
      </c>
      <c r="N81" s="98">
        <f t="shared" si="11"/>
        <v>0</v>
      </c>
      <c r="O81" s="98">
        <f t="shared" si="12"/>
        <v>0</v>
      </c>
      <c r="P81" s="98">
        <f t="shared" si="13"/>
        <v>0</v>
      </c>
      <c r="Q81" s="124">
        <f t="shared" si="14"/>
        <v>0</v>
      </c>
      <c r="R81" s="98">
        <f t="shared" si="15"/>
        <v>0</v>
      </c>
      <c r="S81" s="98">
        <f t="shared" si="16"/>
        <v>0</v>
      </c>
      <c r="T81" s="124">
        <f t="shared" si="17"/>
        <v>0</v>
      </c>
      <c r="U81" s="124">
        <f t="shared" si="18"/>
        <v>0</v>
      </c>
      <c r="V81" s="68">
        <f t="shared" si="2"/>
        <v>0</v>
      </c>
      <c r="W81" s="124">
        <f t="shared" si="4"/>
        <v>0</v>
      </c>
      <c r="X81" s="124">
        <f t="shared" si="19"/>
        <v>0</v>
      </c>
      <c r="Y81" s="124">
        <f>Baseline_DCF!U81</f>
        <v>0</v>
      </c>
      <c r="Z81" s="124">
        <f t="shared" si="5"/>
        <v>0</v>
      </c>
      <c r="AA81" s="68">
        <f t="shared" si="6"/>
        <v>0</v>
      </c>
      <c r="AB81" s="124">
        <f t="shared" si="7"/>
        <v>0</v>
      </c>
      <c r="AC81" s="124">
        <f t="shared" si="8"/>
        <v>0</v>
      </c>
    </row>
    <row r="82" spans="1:29" ht="14.4" x14ac:dyDescent="0.3">
      <c r="A82" s="35">
        <f t="shared" si="9"/>
        <v>33</v>
      </c>
      <c r="B82" s="44">
        <f>1/(1+Biomass_DCF!$B$8)^A82</f>
        <v>4.3056764313424457E-2</v>
      </c>
      <c r="C82" s="36">
        <f>IF(A82&lt;(Biomass_DCF!$B$6+1),1,0)</f>
        <v>0</v>
      </c>
      <c r="D82" s="36">
        <f>IF(A82&lt;(Biomass_DCF!$B$11+1),1,0)</f>
        <v>0</v>
      </c>
      <c r="E82" s="36">
        <f>IF(A82&lt;(Biomass_DCF!$B$12+1),1,0)</f>
        <v>0</v>
      </c>
      <c r="F82" s="98">
        <f xml:space="preserve"> -Biomass_DCF!$B$32*D82</f>
        <v>0</v>
      </c>
      <c r="G82" s="124">
        <f>-F82*Biomass_DCF!$B$9</f>
        <v>0</v>
      </c>
      <c r="H82" s="124">
        <f>-Biomass_DCF!$B$28*C82</f>
        <v>0</v>
      </c>
      <c r="I82" s="98">
        <f t="shared" si="21"/>
        <v>-1.4501148752255628E-8</v>
      </c>
      <c r="J82" s="98">
        <f t="shared" si="3"/>
        <v>-1.55887349086748E-8</v>
      </c>
      <c r="K82" s="98">
        <f>-I82*Biomass_DCF!$B$7</f>
        <v>1.087586156419172E-9</v>
      </c>
      <c r="L82" s="124">
        <f>-(K82*Biomass_DCF!$B$9)</f>
        <v>0</v>
      </c>
      <c r="M82" s="98">
        <f t="shared" si="10"/>
        <v>0</v>
      </c>
      <c r="N82" s="98">
        <f t="shared" si="11"/>
        <v>0</v>
      </c>
      <c r="O82" s="98">
        <f t="shared" si="12"/>
        <v>0</v>
      </c>
      <c r="P82" s="98">
        <f t="shared" si="13"/>
        <v>0</v>
      </c>
      <c r="Q82" s="124">
        <f t="shared" si="14"/>
        <v>0</v>
      </c>
      <c r="R82" s="98">
        <f t="shared" si="15"/>
        <v>0</v>
      </c>
      <c r="S82" s="98">
        <f t="shared" si="16"/>
        <v>0</v>
      </c>
      <c r="T82" s="124">
        <f t="shared" si="17"/>
        <v>0</v>
      </c>
      <c r="U82" s="124">
        <f t="shared" si="18"/>
        <v>0</v>
      </c>
      <c r="V82" s="68">
        <f t="shared" si="2"/>
        <v>0</v>
      </c>
      <c r="W82" s="124">
        <f t="shared" si="4"/>
        <v>0</v>
      </c>
      <c r="X82" s="124">
        <f t="shared" si="19"/>
        <v>0</v>
      </c>
      <c r="Y82" s="124">
        <f>Baseline_DCF!U82</f>
        <v>0</v>
      </c>
      <c r="Z82" s="124">
        <f t="shared" si="5"/>
        <v>0</v>
      </c>
      <c r="AA82" s="68">
        <f t="shared" si="6"/>
        <v>0</v>
      </c>
      <c r="AB82" s="124">
        <f t="shared" si="7"/>
        <v>0</v>
      </c>
      <c r="AC82" s="124">
        <f t="shared" si="8"/>
        <v>0</v>
      </c>
    </row>
    <row r="83" spans="1:29" ht="14.4" x14ac:dyDescent="0.3">
      <c r="A83" s="35">
        <f t="shared" si="9"/>
        <v>34</v>
      </c>
      <c r="B83" s="44">
        <f>1/(1+Biomass_DCF!$B$8)^A83</f>
        <v>3.9142513012204054E-2</v>
      </c>
      <c r="C83" s="36">
        <f>IF(A83&lt;(Biomass_DCF!$B$6+1),1,0)</f>
        <v>0</v>
      </c>
      <c r="D83" s="36">
        <f>IF(A83&lt;(Biomass_DCF!$B$11+1),1,0)</f>
        <v>0</v>
      </c>
      <c r="E83" s="36">
        <f>IF(A83&lt;(Biomass_DCF!$B$12+1),1,0)</f>
        <v>0</v>
      </c>
      <c r="F83" s="98">
        <f xml:space="preserve"> -Biomass_DCF!$B$32*D83</f>
        <v>0</v>
      </c>
      <c r="G83" s="124">
        <f>-F83*Biomass_DCF!$B$9</f>
        <v>0</v>
      </c>
      <c r="H83" s="124">
        <f>-Biomass_DCF!$B$28*C83</f>
        <v>0</v>
      </c>
      <c r="I83" s="98">
        <f t="shared" si="21"/>
        <v>-1.55887349086748E-8</v>
      </c>
      <c r="J83" s="98">
        <f t="shared" si="3"/>
        <v>-1.6757890026825409E-8</v>
      </c>
      <c r="K83" s="98">
        <f>-I83*Biomass_DCF!$B$7</f>
        <v>1.16915511815061E-9</v>
      </c>
      <c r="L83" s="124">
        <f>-(K83*Biomass_DCF!$B$9)</f>
        <v>0</v>
      </c>
      <c r="M83" s="98">
        <f t="shared" si="10"/>
        <v>0</v>
      </c>
      <c r="N83" s="98">
        <f t="shared" si="11"/>
        <v>0</v>
      </c>
      <c r="O83" s="98">
        <f t="shared" si="12"/>
        <v>0</v>
      </c>
      <c r="P83" s="98">
        <f t="shared" si="13"/>
        <v>0</v>
      </c>
      <c r="Q83" s="124">
        <f t="shared" si="14"/>
        <v>0</v>
      </c>
      <c r="R83" s="98">
        <f t="shared" si="15"/>
        <v>0</v>
      </c>
      <c r="S83" s="98">
        <f t="shared" si="16"/>
        <v>0</v>
      </c>
      <c r="T83" s="124">
        <f t="shared" si="17"/>
        <v>0</v>
      </c>
      <c r="U83" s="124">
        <f t="shared" si="18"/>
        <v>0</v>
      </c>
      <c r="V83" s="68">
        <f t="shared" si="2"/>
        <v>0</v>
      </c>
      <c r="W83" s="124">
        <f t="shared" si="4"/>
        <v>0</v>
      </c>
      <c r="X83" s="124">
        <f t="shared" si="19"/>
        <v>0</v>
      </c>
      <c r="Y83" s="124">
        <f>Baseline_DCF!U83</f>
        <v>0</v>
      </c>
      <c r="Z83" s="124">
        <f t="shared" si="5"/>
        <v>0</v>
      </c>
      <c r="AA83" s="68">
        <f t="shared" si="6"/>
        <v>0</v>
      </c>
      <c r="AB83" s="124">
        <f t="shared" si="7"/>
        <v>0</v>
      </c>
      <c r="AC83" s="124">
        <f t="shared" si="8"/>
        <v>0</v>
      </c>
    </row>
    <row r="84" spans="1:29" ht="14.4" x14ac:dyDescent="0.3">
      <c r="A84" s="35">
        <f t="shared" si="9"/>
        <v>35</v>
      </c>
      <c r="B84" s="44">
        <f>1/(1+Biomass_DCF!$B$8)^A84</f>
        <v>3.5584102738367311E-2</v>
      </c>
      <c r="C84" s="36">
        <f>IF(A84&lt;(Biomass_DCF!$B$6+1),1,0)</f>
        <v>0</v>
      </c>
      <c r="D84" s="36">
        <f>IF(A84&lt;(Biomass_DCF!$B$11+1),1,0)</f>
        <v>0</v>
      </c>
      <c r="E84" s="36">
        <f>IF(A84&lt;(Biomass_DCF!$B$12+1),1,0)</f>
        <v>0</v>
      </c>
      <c r="F84" s="98">
        <f xml:space="preserve"> -Biomass_DCF!$B$32*D84</f>
        <v>0</v>
      </c>
      <c r="G84" s="124">
        <f>-F84*Biomass_DCF!$B$9</f>
        <v>0</v>
      </c>
      <c r="H84" s="124">
        <f>-Biomass_DCF!$B$28*C84</f>
        <v>0</v>
      </c>
      <c r="I84" s="98">
        <f t="shared" si="21"/>
        <v>-1.6757890026825409E-8</v>
      </c>
      <c r="J84" s="98">
        <f t="shared" si="3"/>
        <v>-1.8014731778837315E-8</v>
      </c>
      <c r="K84" s="98">
        <f>-I84*Biomass_DCF!$B$7</f>
        <v>1.2568417520119056E-9</v>
      </c>
      <c r="L84" s="124">
        <f>-(K84*Biomass_DCF!$B$9)</f>
        <v>0</v>
      </c>
      <c r="M84" s="98">
        <f t="shared" si="10"/>
        <v>0</v>
      </c>
      <c r="N84" s="98">
        <f t="shared" si="11"/>
        <v>0</v>
      </c>
      <c r="O84" s="98">
        <f t="shared" si="12"/>
        <v>0</v>
      </c>
      <c r="P84" s="98">
        <f t="shared" si="13"/>
        <v>0</v>
      </c>
      <c r="Q84" s="124">
        <f t="shared" si="14"/>
        <v>0</v>
      </c>
      <c r="R84" s="98">
        <f t="shared" si="15"/>
        <v>0</v>
      </c>
      <c r="S84" s="98">
        <f t="shared" si="16"/>
        <v>0</v>
      </c>
      <c r="T84" s="124">
        <f t="shared" si="17"/>
        <v>0</v>
      </c>
      <c r="U84" s="124">
        <f t="shared" si="18"/>
        <v>0</v>
      </c>
      <c r="V84" s="68">
        <f t="shared" si="2"/>
        <v>0</v>
      </c>
      <c r="W84" s="124">
        <f t="shared" si="4"/>
        <v>0</v>
      </c>
      <c r="X84" s="124">
        <f t="shared" si="19"/>
        <v>0</v>
      </c>
      <c r="Y84" s="124">
        <f>Baseline_DCF!U84</f>
        <v>0</v>
      </c>
      <c r="Z84" s="124">
        <f t="shared" si="5"/>
        <v>0</v>
      </c>
      <c r="AA84" s="68">
        <f t="shared" si="6"/>
        <v>0</v>
      </c>
      <c r="AB84" s="124">
        <f t="shared" si="7"/>
        <v>0</v>
      </c>
      <c r="AC84" s="124">
        <f t="shared" si="8"/>
        <v>0</v>
      </c>
    </row>
    <row r="85" spans="1:29" ht="14.4" x14ac:dyDescent="0.3">
      <c r="A85" s="35">
        <f t="shared" si="9"/>
        <v>36</v>
      </c>
      <c r="B85" s="44">
        <f>1/(1+Biomass_DCF!$B$8)^A85</f>
        <v>3.2349184307606652E-2</v>
      </c>
      <c r="C85" s="36">
        <f>IF(A85&lt;(Biomass_DCF!$B$6+1),1,0)</f>
        <v>0</v>
      </c>
      <c r="D85" s="36">
        <f>IF(A85&lt;(Biomass_DCF!$B$11+1),1,0)</f>
        <v>0</v>
      </c>
      <c r="E85" s="36">
        <f>IF(A85&lt;(Biomass_DCF!$B$12+1),1,0)</f>
        <v>0</v>
      </c>
      <c r="F85" s="98">
        <f xml:space="preserve"> -Biomass_DCF!$B$32*D85</f>
        <v>0</v>
      </c>
      <c r="G85" s="124">
        <f>-F85*Biomass_DCF!$B$9</f>
        <v>0</v>
      </c>
      <c r="H85" s="124">
        <f>-Biomass_DCF!$B$28*C85</f>
        <v>0</v>
      </c>
      <c r="I85" s="98">
        <f t="shared" si="21"/>
        <v>-1.8014731778837315E-8</v>
      </c>
      <c r="J85" s="98">
        <f t="shared" si="3"/>
        <v>-1.9365836662250113E-8</v>
      </c>
      <c r="K85" s="98">
        <f>-I85*Biomass_DCF!$B$7</f>
        <v>1.3511048834127986E-9</v>
      </c>
      <c r="L85" s="124">
        <f>-(K85*Biomass_DCF!$B$9)</f>
        <v>0</v>
      </c>
      <c r="M85" s="98">
        <f t="shared" si="10"/>
        <v>0</v>
      </c>
      <c r="N85" s="98">
        <f t="shared" si="11"/>
        <v>0</v>
      </c>
      <c r="O85" s="98">
        <f t="shared" si="12"/>
        <v>0</v>
      </c>
      <c r="P85" s="98">
        <f t="shared" si="13"/>
        <v>0</v>
      </c>
      <c r="Q85" s="124">
        <f t="shared" si="14"/>
        <v>0</v>
      </c>
      <c r="R85" s="98">
        <f t="shared" si="15"/>
        <v>0</v>
      </c>
      <c r="S85" s="98">
        <f t="shared" si="16"/>
        <v>0</v>
      </c>
      <c r="T85" s="124">
        <f t="shared" si="17"/>
        <v>0</v>
      </c>
      <c r="U85" s="124">
        <f t="shared" si="18"/>
        <v>0</v>
      </c>
      <c r="V85" s="68">
        <f t="shared" si="2"/>
        <v>0</v>
      </c>
      <c r="W85" s="124">
        <f t="shared" si="4"/>
        <v>0</v>
      </c>
      <c r="X85" s="124">
        <f t="shared" si="19"/>
        <v>0</v>
      </c>
      <c r="Y85" s="124">
        <f>Baseline_DCF!U85</f>
        <v>0</v>
      </c>
      <c r="Z85" s="124">
        <f t="shared" si="5"/>
        <v>0</v>
      </c>
      <c r="AA85" s="68">
        <f t="shared" si="6"/>
        <v>0</v>
      </c>
      <c r="AB85" s="124">
        <f t="shared" si="7"/>
        <v>0</v>
      </c>
      <c r="AC85" s="124">
        <f t="shared" si="8"/>
        <v>0</v>
      </c>
    </row>
    <row r="86" spans="1:29" ht="14.4" x14ac:dyDescent="0.3">
      <c r="A86" s="35">
        <f t="shared" si="9"/>
        <v>37</v>
      </c>
      <c r="B86" s="44">
        <f>1/(1+Biomass_DCF!$B$8)^A86</f>
        <v>2.94083493705515E-2</v>
      </c>
      <c r="C86" s="36">
        <f>IF(A86&lt;(Biomass_DCF!$B$6+1),1,0)</f>
        <v>0</v>
      </c>
      <c r="D86" s="36">
        <f>IF(A86&lt;(Biomass_DCF!$B$11+1),1,0)</f>
        <v>0</v>
      </c>
      <c r="E86" s="36">
        <f>IF(A86&lt;(Biomass_DCF!$B$12+1),1,0)</f>
        <v>0</v>
      </c>
      <c r="F86" s="98">
        <f xml:space="preserve"> -Biomass_DCF!$B$32*D86</f>
        <v>0</v>
      </c>
      <c r="G86" s="124">
        <f>-F86*Biomass_DCF!$B$9</f>
        <v>0</v>
      </c>
      <c r="H86" s="124">
        <f>-Biomass_DCF!$B$28*C86</f>
        <v>0</v>
      </c>
      <c r="I86" s="98">
        <f t="shared" si="21"/>
        <v>-1.9365836662250113E-8</v>
      </c>
      <c r="J86" s="98">
        <f t="shared" si="3"/>
        <v>-2.0818274411918872E-8</v>
      </c>
      <c r="K86" s="98">
        <f>-I86*Biomass_DCF!$B$7</f>
        <v>1.4524377496687583E-9</v>
      </c>
      <c r="L86" s="124">
        <f>-(K86*Biomass_DCF!$B$9)</f>
        <v>0</v>
      </c>
      <c r="M86" s="98">
        <f t="shared" si="10"/>
        <v>0</v>
      </c>
      <c r="N86" s="98">
        <f t="shared" si="11"/>
        <v>0</v>
      </c>
      <c r="O86" s="98">
        <f t="shared" si="12"/>
        <v>0</v>
      </c>
      <c r="P86" s="98">
        <f t="shared" si="13"/>
        <v>0</v>
      </c>
      <c r="Q86" s="124">
        <f t="shared" si="14"/>
        <v>0</v>
      </c>
      <c r="R86" s="98">
        <f t="shared" si="15"/>
        <v>0</v>
      </c>
      <c r="S86" s="98">
        <f t="shared" si="16"/>
        <v>0</v>
      </c>
      <c r="T86" s="124">
        <f t="shared" si="17"/>
        <v>0</v>
      </c>
      <c r="U86" s="124">
        <f t="shared" si="18"/>
        <v>0</v>
      </c>
      <c r="V86" s="68">
        <f t="shared" si="2"/>
        <v>0</v>
      </c>
      <c r="W86" s="124">
        <f t="shared" si="4"/>
        <v>0</v>
      </c>
      <c r="X86" s="124">
        <f t="shared" si="19"/>
        <v>0</v>
      </c>
      <c r="Y86" s="124">
        <f>Baseline_DCF!U86</f>
        <v>0</v>
      </c>
      <c r="Z86" s="124">
        <f t="shared" si="5"/>
        <v>0</v>
      </c>
      <c r="AA86" s="68">
        <f t="shared" si="6"/>
        <v>0</v>
      </c>
      <c r="AB86" s="124">
        <f t="shared" si="7"/>
        <v>0</v>
      </c>
      <c r="AC86" s="124">
        <f t="shared" si="8"/>
        <v>0</v>
      </c>
    </row>
    <row r="87" spans="1:29" ht="14.4" x14ac:dyDescent="0.3">
      <c r="A87" s="35">
        <f t="shared" si="9"/>
        <v>38</v>
      </c>
      <c r="B87" s="44">
        <f>1/(1+Biomass_DCF!$B$8)^A87</f>
        <v>2.6734863064137721E-2</v>
      </c>
      <c r="C87" s="36">
        <f>IF(A87&lt;(Biomass_DCF!$B$6+1),1,0)</f>
        <v>0</v>
      </c>
      <c r="D87" s="36">
        <f>IF(A87&lt;(Biomass_DCF!$B$11+1),1,0)</f>
        <v>0</v>
      </c>
      <c r="E87" s="36">
        <f>IF(A87&lt;(Biomass_DCF!$B$12+1),1,0)</f>
        <v>0</v>
      </c>
      <c r="F87" s="98">
        <f xml:space="preserve"> -Biomass_DCF!$B$32*D87</f>
        <v>0</v>
      </c>
      <c r="G87" s="124">
        <f>-F87*Biomass_DCF!$B$9</f>
        <v>0</v>
      </c>
      <c r="H87" s="124">
        <f>-Biomass_DCF!$B$28*C87</f>
        <v>0</v>
      </c>
      <c r="I87" s="98">
        <f t="shared" si="21"/>
        <v>-2.0818274411918872E-8</v>
      </c>
      <c r="J87" s="98">
        <f t="shared" si="3"/>
        <v>-2.2379644992812788E-8</v>
      </c>
      <c r="K87" s="98">
        <f>-I87*Biomass_DCF!$B$7</f>
        <v>1.5613705808939153E-9</v>
      </c>
      <c r="L87" s="124">
        <f>-(K87*Biomass_DCF!$B$9)</f>
        <v>0</v>
      </c>
      <c r="M87" s="98">
        <f t="shared" si="10"/>
        <v>0</v>
      </c>
      <c r="N87" s="98">
        <f t="shared" si="11"/>
        <v>0</v>
      </c>
      <c r="O87" s="98">
        <f t="shared" si="12"/>
        <v>0</v>
      </c>
      <c r="P87" s="98">
        <f t="shared" si="13"/>
        <v>0</v>
      </c>
      <c r="Q87" s="124">
        <f t="shared" si="14"/>
        <v>0</v>
      </c>
      <c r="R87" s="98">
        <f t="shared" si="15"/>
        <v>0</v>
      </c>
      <c r="S87" s="98">
        <f t="shared" si="16"/>
        <v>0</v>
      </c>
      <c r="T87" s="124">
        <f t="shared" si="17"/>
        <v>0</v>
      </c>
      <c r="U87" s="124">
        <f t="shared" si="18"/>
        <v>0</v>
      </c>
      <c r="V87" s="68">
        <f t="shared" si="2"/>
        <v>0</v>
      </c>
      <c r="W87" s="124">
        <f t="shared" si="4"/>
        <v>0</v>
      </c>
      <c r="X87" s="124">
        <f t="shared" si="19"/>
        <v>0</v>
      </c>
      <c r="Y87" s="124">
        <f>Baseline_DCF!U87</f>
        <v>0</v>
      </c>
      <c r="Z87" s="124">
        <f t="shared" si="5"/>
        <v>0</v>
      </c>
      <c r="AA87" s="68">
        <f t="shared" si="6"/>
        <v>0</v>
      </c>
      <c r="AB87" s="124">
        <f t="shared" si="7"/>
        <v>0</v>
      </c>
      <c r="AC87" s="124">
        <f t="shared" si="8"/>
        <v>0</v>
      </c>
    </row>
    <row r="88" spans="1:29" ht="14.4" x14ac:dyDescent="0.3">
      <c r="A88" s="35">
        <f t="shared" si="9"/>
        <v>39</v>
      </c>
      <c r="B88" s="44">
        <f>1/(1+Biomass_DCF!$B$8)^A88</f>
        <v>2.4304420967397926E-2</v>
      </c>
      <c r="C88" s="36">
        <f>IF(A88&lt;(Biomass_DCF!$B$6+1),1,0)</f>
        <v>0</v>
      </c>
      <c r="D88" s="36">
        <f>IF(A88&lt;(Biomass_DCF!$B$11+1),1,0)</f>
        <v>0</v>
      </c>
      <c r="E88" s="36">
        <f>IF(A88&lt;(Biomass_DCF!$B$12+1),1,0)</f>
        <v>0</v>
      </c>
      <c r="F88" s="98">
        <f xml:space="preserve"> -Biomass_DCF!$B$32*D88</f>
        <v>0</v>
      </c>
      <c r="G88" s="124">
        <f>-F88*Biomass_DCF!$B$9</f>
        <v>0</v>
      </c>
      <c r="H88" s="124">
        <f>-Biomass_DCF!$B$28*C88</f>
        <v>0</v>
      </c>
      <c r="I88" s="98">
        <f t="shared" si="21"/>
        <v>-2.2379644992812788E-8</v>
      </c>
      <c r="J88" s="98">
        <f t="shared" si="3"/>
        <v>-2.4058118367273748E-8</v>
      </c>
      <c r="K88" s="98">
        <f>-I88*Biomass_DCF!$B$7</f>
        <v>1.678473374460959E-9</v>
      </c>
      <c r="L88" s="124">
        <f>-(K88*Biomass_DCF!$B$9)</f>
        <v>0</v>
      </c>
      <c r="M88" s="98">
        <f t="shared" si="10"/>
        <v>0</v>
      </c>
      <c r="N88" s="98">
        <f t="shared" si="11"/>
        <v>0</v>
      </c>
      <c r="O88" s="98">
        <f t="shared" si="12"/>
        <v>0</v>
      </c>
      <c r="P88" s="98">
        <f t="shared" si="13"/>
        <v>0</v>
      </c>
      <c r="Q88" s="124">
        <f t="shared" si="14"/>
        <v>0</v>
      </c>
      <c r="R88" s="98">
        <f t="shared" si="15"/>
        <v>0</v>
      </c>
      <c r="S88" s="98">
        <f t="shared" si="16"/>
        <v>0</v>
      </c>
      <c r="T88" s="124">
        <f t="shared" si="17"/>
        <v>0</v>
      </c>
      <c r="U88" s="124">
        <f t="shared" si="18"/>
        <v>0</v>
      </c>
      <c r="V88" s="68">
        <f t="shared" si="2"/>
        <v>0</v>
      </c>
      <c r="W88" s="124">
        <f t="shared" si="4"/>
        <v>0</v>
      </c>
      <c r="X88" s="124">
        <f t="shared" si="19"/>
        <v>0</v>
      </c>
      <c r="Y88" s="124">
        <f>Baseline_DCF!U88</f>
        <v>0</v>
      </c>
      <c r="Z88" s="124">
        <f t="shared" si="5"/>
        <v>0</v>
      </c>
      <c r="AA88" s="68">
        <f t="shared" si="6"/>
        <v>0</v>
      </c>
      <c r="AB88" s="124">
        <f t="shared" si="7"/>
        <v>0</v>
      </c>
      <c r="AC88" s="124">
        <f t="shared" si="8"/>
        <v>0</v>
      </c>
    </row>
    <row r="89" spans="1:29" ht="14.4" x14ac:dyDescent="0.3">
      <c r="A89" s="35">
        <f t="shared" si="9"/>
        <v>40</v>
      </c>
      <c r="B89" s="44">
        <f>1/(1+Biomass_DCF!$B$8)^A89</f>
        <v>2.2094928152179935E-2</v>
      </c>
      <c r="C89" s="36">
        <f>IF(A89&lt;(Biomass_DCF!$B$6+1),1,0)</f>
        <v>0</v>
      </c>
      <c r="D89" s="36">
        <f>IF(A89&lt;(Biomass_DCF!$B$11+1),1,0)</f>
        <v>0</v>
      </c>
      <c r="E89" s="36">
        <f>IF(A89&lt;(Biomass_DCF!$B$12+1),1,0)</f>
        <v>0</v>
      </c>
      <c r="F89" s="98">
        <f xml:space="preserve"> -Biomass_DCF!$B$32*D89</f>
        <v>0</v>
      </c>
      <c r="G89" s="124">
        <f>-F89*Biomass_DCF!$B$9</f>
        <v>0</v>
      </c>
      <c r="H89" s="124">
        <f>-Biomass_DCF!$B$28*C89</f>
        <v>0</v>
      </c>
      <c r="I89" s="98">
        <f t="shared" si="21"/>
        <v>-2.4058118367273748E-8</v>
      </c>
      <c r="J89" s="98">
        <f t="shared" si="3"/>
        <v>-2.5862477244819279E-8</v>
      </c>
      <c r="K89" s="98">
        <f>-I89*Biomass_DCF!$B$7</f>
        <v>1.8043588775455311E-9</v>
      </c>
      <c r="L89" s="124">
        <f>-(K89*Biomass_DCF!$B$9)</f>
        <v>0</v>
      </c>
      <c r="M89" s="98">
        <f t="shared" si="10"/>
        <v>0</v>
      </c>
      <c r="N89" s="98">
        <f t="shared" si="11"/>
        <v>0</v>
      </c>
      <c r="O89" s="98">
        <f t="shared" si="12"/>
        <v>0</v>
      </c>
      <c r="P89" s="98">
        <f t="shared" si="13"/>
        <v>0</v>
      </c>
      <c r="Q89" s="124">
        <f t="shared" si="14"/>
        <v>0</v>
      </c>
      <c r="R89" s="98">
        <f t="shared" si="15"/>
        <v>0</v>
      </c>
      <c r="S89" s="98">
        <f t="shared" si="16"/>
        <v>0</v>
      </c>
      <c r="T89" s="124">
        <f t="shared" si="17"/>
        <v>0</v>
      </c>
      <c r="U89" s="124">
        <f t="shared" si="18"/>
        <v>0</v>
      </c>
      <c r="V89" s="68">
        <f t="shared" si="2"/>
        <v>0</v>
      </c>
      <c r="W89" s="124">
        <f t="shared" si="4"/>
        <v>0</v>
      </c>
      <c r="X89" s="124">
        <f t="shared" si="19"/>
        <v>0</v>
      </c>
      <c r="Y89" s="124">
        <f>Baseline_DCF!U89</f>
        <v>0</v>
      </c>
      <c r="Z89" s="124">
        <f t="shared" si="5"/>
        <v>0</v>
      </c>
      <c r="AA89" s="68">
        <f t="shared" si="6"/>
        <v>0</v>
      </c>
      <c r="AB89" s="124">
        <f t="shared" si="7"/>
        <v>0</v>
      </c>
      <c r="AC89" s="124">
        <f t="shared" si="8"/>
        <v>0</v>
      </c>
    </row>
    <row r="90" spans="1:29" ht="19.8" x14ac:dyDescent="0.25">
      <c r="A90" s="116" t="s">
        <v>112</v>
      </c>
      <c r="B90" s="121"/>
      <c r="C90" s="121"/>
      <c r="D90" s="121"/>
      <c r="E90" s="121"/>
      <c r="F90" s="121"/>
      <c r="G90" s="122"/>
      <c r="H90" s="122"/>
      <c r="I90" s="121"/>
      <c r="J90" s="121"/>
      <c r="K90" s="121"/>
      <c r="L90" s="122"/>
      <c r="M90" s="121"/>
      <c r="N90" s="121"/>
      <c r="O90" s="121"/>
      <c r="P90" s="121"/>
      <c r="Q90" s="122"/>
      <c r="R90" s="121"/>
      <c r="S90" s="121"/>
      <c r="T90" s="122"/>
      <c r="U90" s="122"/>
      <c r="V90" s="121"/>
      <c r="AA90" s="140"/>
      <c r="AB90" s="88"/>
      <c r="AC90" s="140"/>
    </row>
    <row r="91" spans="1:29" ht="52.8" x14ac:dyDescent="0.25">
      <c r="A91" s="32" t="s">
        <v>58</v>
      </c>
      <c r="B91" s="33" t="s">
        <v>59</v>
      </c>
      <c r="C91" s="33" t="s">
        <v>60</v>
      </c>
      <c r="D91" s="34" t="s">
        <v>61</v>
      </c>
      <c r="E91" s="34" t="s">
        <v>62</v>
      </c>
      <c r="F91" s="33" t="s">
        <v>63</v>
      </c>
      <c r="G91" s="125" t="s">
        <v>64</v>
      </c>
      <c r="H91" s="125" t="s">
        <v>65</v>
      </c>
      <c r="I91" s="33" t="s">
        <v>66</v>
      </c>
      <c r="J91" s="33" t="s">
        <v>67</v>
      </c>
      <c r="K91" s="33" t="s">
        <v>68</v>
      </c>
      <c r="L91" s="125" t="s">
        <v>82</v>
      </c>
      <c r="M91" s="33" t="s">
        <v>69</v>
      </c>
      <c r="N91" s="33" t="s">
        <v>70</v>
      </c>
      <c r="O91" s="33" t="s">
        <v>71</v>
      </c>
      <c r="P91" s="34" t="s">
        <v>72</v>
      </c>
      <c r="Q91" s="125" t="s">
        <v>83</v>
      </c>
      <c r="R91" s="33" t="s">
        <v>73</v>
      </c>
      <c r="S91" s="33" t="s">
        <v>74</v>
      </c>
      <c r="T91" s="127" t="s">
        <v>75</v>
      </c>
      <c r="U91" s="128" t="s">
        <v>150</v>
      </c>
      <c r="V91" s="43" t="s">
        <v>151</v>
      </c>
      <c r="AA91" s="140"/>
      <c r="AB91" s="88"/>
      <c r="AC91" s="140"/>
    </row>
    <row r="92" spans="1:29" ht="14.4" x14ac:dyDescent="0.3">
      <c r="A92" s="35">
        <v>0</v>
      </c>
      <c r="B92" s="44">
        <f>1/(1+Biomass_DCF!$F$8)^A92</f>
        <v>1</v>
      </c>
      <c r="C92" s="35"/>
      <c r="D92" s="36"/>
      <c r="E92" s="36"/>
      <c r="F92" s="98"/>
      <c r="G92" s="124"/>
      <c r="H92" s="124"/>
      <c r="I92" s="98">
        <v>0</v>
      </c>
      <c r="J92" s="98"/>
      <c r="K92" s="98"/>
      <c r="L92" s="124"/>
      <c r="M92" s="98"/>
      <c r="N92" s="98"/>
      <c r="O92" s="98"/>
      <c r="P92" s="98"/>
      <c r="Q92" s="124"/>
      <c r="R92" s="98"/>
      <c r="S92" s="98"/>
      <c r="T92" s="124"/>
      <c r="U92" s="124">
        <f>-Biomass_DCF!$F$26</f>
        <v>-485746</v>
      </c>
      <c r="V92" s="68">
        <f t="shared" ref="V92:V132" si="22">U92*B92</f>
        <v>-485746</v>
      </c>
      <c r="AA92" s="140"/>
      <c r="AB92" s="88"/>
      <c r="AC92" s="140"/>
    </row>
    <row r="93" spans="1:29" ht="14.4" x14ac:dyDescent="0.3">
      <c r="A93" s="35">
        <f t="shared" ref="A93:A132" si="23">A92+1</f>
        <v>1</v>
      </c>
      <c r="B93" s="44">
        <f>1/(1+Biomass_DCF!$F$8)^A93</f>
        <v>0.90909090909090906</v>
      </c>
      <c r="C93" s="36">
        <f>IF(A93&lt;(Biomass_DCF!$F$6+1),1,0)</f>
        <v>1</v>
      </c>
      <c r="D93" s="36">
        <f>IF(A93&lt;(Biomass_DCF!$F$11+1),1,0)</f>
        <v>1</v>
      </c>
      <c r="E93" s="36">
        <f>IF(A93&lt;(Biomass_DCF!$F$12+1),1,0)</f>
        <v>1</v>
      </c>
      <c r="F93" s="98">
        <f xml:space="preserve"> -Biomass_DCF!$F$32*D93</f>
        <v>-80957.666666666672</v>
      </c>
      <c r="G93" s="124">
        <f>-F93*Biomass_DCF!$F$9</f>
        <v>0</v>
      </c>
      <c r="H93" s="124">
        <f>-Biomass_DCF!$F$28*C93</f>
        <v>-106149.53475529385</v>
      </c>
      <c r="I93" s="98">
        <f>Biomass_DCF!F25</f>
        <v>728619</v>
      </c>
      <c r="J93" s="98">
        <f t="shared" ref="J93:J132" si="24">I93+H93-K93</f>
        <v>677115.89024470618</v>
      </c>
      <c r="K93" s="98">
        <f>-I93*Biomass_DCF!$F$7</f>
        <v>-54646.424999999996</v>
      </c>
      <c r="L93" s="124">
        <f>-(K93*Biomass_DCF!$F$9)</f>
        <v>0</v>
      </c>
      <c r="M93" s="98">
        <f>-Biomass_DCF!$F$15*Biomass_DCF!$F$23*E93*(1+Biomass_DCF!$F$10)^A93</f>
        <v>-24894.482499999998</v>
      </c>
      <c r="N93" s="98">
        <f>M93*Biomass_DCF!$F$9</f>
        <v>0</v>
      </c>
      <c r="O93" s="98">
        <f>-E93*$H$22*$F$14*(1+$F$10)^A93</f>
        <v>0</v>
      </c>
      <c r="P93" s="98">
        <f>O93*$F$9</f>
        <v>0</v>
      </c>
      <c r="Q93" s="124">
        <f t="shared" ref="Q93:Q132" si="25">(M93+O93-N93-P93)</f>
        <v>-24894.482499999998</v>
      </c>
      <c r="R93" s="98">
        <f>-E93*Biomass_DCF!$F$21*(1+Biomass_DCF!$F$17)^(Biomass_DCF!A93)</f>
        <v>-960937.49999999988</v>
      </c>
      <c r="S93" s="98">
        <f>-R93*Biomass_DCF!$F$9</f>
        <v>0</v>
      </c>
      <c r="T93" s="124">
        <f t="shared" ref="T93:T132" si="26">R93+S93</f>
        <v>-960937.49999999988</v>
      </c>
      <c r="U93" s="124">
        <f>G93+H93+L93+Q93+T93+IF(AND(E93=1,E94=0),$F$24,0)</f>
        <v>-1091981.5172552937</v>
      </c>
      <c r="V93" s="68">
        <f t="shared" si="22"/>
        <v>-992710.47023208509</v>
      </c>
      <c r="AA93" s="140"/>
      <c r="AB93" s="88"/>
      <c r="AC93" s="140"/>
    </row>
    <row r="94" spans="1:29" ht="14.4" x14ac:dyDescent="0.3">
      <c r="A94" s="35">
        <f t="shared" si="23"/>
        <v>2</v>
      </c>
      <c r="B94" s="44">
        <f>1/(1+Biomass_DCF!$F$8)^A94</f>
        <v>0.82644628099173545</v>
      </c>
      <c r="C94" s="36">
        <f>IF(A94&lt;(Biomass_DCF!$F$6+1),1,0)</f>
        <v>1</v>
      </c>
      <c r="D94" s="36">
        <f>IF(A94&lt;(Biomass_DCF!$F$11+1),1,0)</f>
        <v>1</v>
      </c>
      <c r="E94" s="36">
        <f>IF(A94&lt;(Biomass_DCF!$F$12+1),1,0)</f>
        <v>1</v>
      </c>
      <c r="F94" s="98">
        <f xml:space="preserve"> -Biomass_DCF!$F$32*D94</f>
        <v>-80957.666666666672</v>
      </c>
      <c r="G94" s="124">
        <f>-F94*Biomass_DCF!$F$9</f>
        <v>0</v>
      </c>
      <c r="H94" s="124">
        <f>-Biomass_DCF!$F$28*C94</f>
        <v>-106149.53475529385</v>
      </c>
      <c r="I94" s="98">
        <f t="shared" ref="I94:I132" si="27">J93</f>
        <v>677115.89024470618</v>
      </c>
      <c r="J94" s="98">
        <f t="shared" si="24"/>
        <v>621750.04725776531</v>
      </c>
      <c r="K94" s="98">
        <f>-I94*Biomass_DCF!$F$7</f>
        <v>-50783.691768352961</v>
      </c>
      <c r="L94" s="124">
        <f>-(K94*Biomass_DCF!$F$9)</f>
        <v>0</v>
      </c>
      <c r="M94" s="98">
        <f>-Biomass_DCF!$F$15*Biomass_DCF!$F$23*E94*(1+Biomass_DCF!$F$10)^A94</f>
        <v>-25516.844562499999</v>
      </c>
      <c r="N94" s="98">
        <f>M94*Biomass_DCF!$F$9</f>
        <v>0</v>
      </c>
      <c r="O94" s="98">
        <f t="shared" ref="O94:O132" si="28">-E94*$H$22*$F$14*(1+$F$10)^A94</f>
        <v>0</v>
      </c>
      <c r="P94" s="98">
        <f t="shared" ref="P94:P132" si="29">O94*$F$9</f>
        <v>0</v>
      </c>
      <c r="Q94" s="124">
        <f t="shared" si="25"/>
        <v>-25516.844562499999</v>
      </c>
      <c r="R94" s="98">
        <f>-E94*Biomass_DCF!$F$21*(1+Biomass_DCF!$F$17)^(Biomass_DCF!A94)</f>
        <v>-984960.93749999988</v>
      </c>
      <c r="S94" s="98">
        <f>-R94*Biomass_DCF!$F$9</f>
        <v>0</v>
      </c>
      <c r="T94" s="124">
        <f t="shared" si="26"/>
        <v>-984960.93749999988</v>
      </c>
      <c r="U94" s="124">
        <f t="shared" ref="U94:U132" si="30">G94+H94+L94+Q94+T94+IF(AND(E94=1,E95=0),$F$24,0)</f>
        <v>-1116627.3168177938</v>
      </c>
      <c r="V94" s="68">
        <f t="shared" si="22"/>
        <v>-922832.49323784595</v>
      </c>
      <c r="AA94" s="140"/>
      <c r="AB94" s="88"/>
      <c r="AC94" s="140"/>
    </row>
    <row r="95" spans="1:29" ht="14.4" x14ac:dyDescent="0.3">
      <c r="A95" s="35">
        <f t="shared" si="23"/>
        <v>3</v>
      </c>
      <c r="B95" s="44">
        <f>1/(1+Biomass_DCF!$F$8)^A95</f>
        <v>0.75131480090157754</v>
      </c>
      <c r="C95" s="36">
        <f>IF(A95&lt;(Biomass_DCF!$F$6+1),1,0)</f>
        <v>1</v>
      </c>
      <c r="D95" s="36">
        <f>IF(A95&lt;(Biomass_DCF!$F$11+1),1,0)</f>
        <v>1</v>
      </c>
      <c r="E95" s="36">
        <f>IF(A95&lt;(Biomass_DCF!$F$12+1),1,0)</f>
        <v>1</v>
      </c>
      <c r="F95" s="98">
        <f xml:space="preserve"> -Biomass_DCF!$F$32*D95</f>
        <v>-80957.666666666672</v>
      </c>
      <c r="G95" s="124">
        <f>-F95*Biomass_DCF!$F$9</f>
        <v>0</v>
      </c>
      <c r="H95" s="124">
        <f>-Biomass_DCF!$F$28*C95</f>
        <v>-106149.53475529385</v>
      </c>
      <c r="I95" s="98">
        <f t="shared" si="27"/>
        <v>621750.04725776531</v>
      </c>
      <c r="J95" s="98">
        <f t="shared" si="24"/>
        <v>562231.76604680379</v>
      </c>
      <c r="K95" s="98">
        <f>-I95*Biomass_DCF!$F$7</f>
        <v>-46631.253544332394</v>
      </c>
      <c r="L95" s="124">
        <f>-(K95*Biomass_DCF!$F$9)</f>
        <v>0</v>
      </c>
      <c r="M95" s="98">
        <f>-Biomass_DCF!$F$15*Biomass_DCF!$F$23*E95*(1+Biomass_DCF!$F$10)^A95</f>
        <v>-26154.765676562496</v>
      </c>
      <c r="N95" s="98">
        <f>M95*Biomass_DCF!$F$9</f>
        <v>0</v>
      </c>
      <c r="O95" s="98">
        <f t="shared" si="28"/>
        <v>0</v>
      </c>
      <c r="P95" s="98">
        <f t="shared" si="29"/>
        <v>0</v>
      </c>
      <c r="Q95" s="124">
        <f t="shared" si="25"/>
        <v>-26154.765676562496</v>
      </c>
      <c r="R95" s="98">
        <f>-E95*Biomass_DCF!$F$21*(1+Biomass_DCF!$F$17)^(Biomass_DCF!A95)</f>
        <v>-1009584.9609374999</v>
      </c>
      <c r="S95" s="98">
        <f>-R95*Biomass_DCF!$F$9</f>
        <v>0</v>
      </c>
      <c r="T95" s="124">
        <f t="shared" si="26"/>
        <v>-1009584.9609374999</v>
      </c>
      <c r="U95" s="124">
        <f t="shared" si="30"/>
        <v>-1141889.2613693562</v>
      </c>
      <c r="V95" s="68">
        <f t="shared" si="22"/>
        <v>-857918.30305736733</v>
      </c>
      <c r="AA95" s="140"/>
      <c r="AB95" s="88"/>
      <c r="AC95" s="140"/>
    </row>
    <row r="96" spans="1:29" ht="14.4" x14ac:dyDescent="0.3">
      <c r="A96" s="35">
        <f t="shared" si="23"/>
        <v>4</v>
      </c>
      <c r="B96" s="44">
        <f>1/(1+Biomass_DCF!$F$8)^A96</f>
        <v>0.68301345536507052</v>
      </c>
      <c r="C96" s="36">
        <f>IF(A96&lt;(Biomass_DCF!$F$6+1),1,0)</f>
        <v>1</v>
      </c>
      <c r="D96" s="36">
        <f>IF(A96&lt;(Biomass_DCF!$F$11+1),1,0)</f>
        <v>1</v>
      </c>
      <c r="E96" s="36">
        <f>IF(A96&lt;(Biomass_DCF!$F$12+1),1,0)</f>
        <v>1</v>
      </c>
      <c r="F96" s="98">
        <f xml:space="preserve"> -Biomass_DCF!$F$32*D96</f>
        <v>-80957.666666666672</v>
      </c>
      <c r="G96" s="124">
        <f>-F96*Biomass_DCF!$F$9</f>
        <v>0</v>
      </c>
      <c r="H96" s="124">
        <f>-Biomass_DCF!$F$28*C96</f>
        <v>-106149.53475529385</v>
      </c>
      <c r="I96" s="98">
        <f t="shared" si="27"/>
        <v>562231.76604680379</v>
      </c>
      <c r="J96" s="98">
        <f t="shared" si="24"/>
        <v>498249.61374502024</v>
      </c>
      <c r="K96" s="98">
        <f>-I96*Biomass_DCF!$F$7</f>
        <v>-42167.382453510283</v>
      </c>
      <c r="L96" s="124">
        <f>-(K96*Biomass_DCF!$F$9)</f>
        <v>0</v>
      </c>
      <c r="M96" s="98">
        <f>-Biomass_DCF!$F$15*Biomass_DCF!$F$23*E96*(1+Biomass_DCF!$F$10)^A96</f>
        <v>-26808.634818476556</v>
      </c>
      <c r="N96" s="98">
        <f>M96*Biomass_DCF!$F$9</f>
        <v>0</v>
      </c>
      <c r="O96" s="98">
        <f t="shared" si="28"/>
        <v>0</v>
      </c>
      <c r="P96" s="98">
        <f t="shared" si="29"/>
        <v>0</v>
      </c>
      <c r="Q96" s="124">
        <f t="shared" si="25"/>
        <v>-26808.634818476556</v>
      </c>
      <c r="R96" s="98">
        <f>-E96*Biomass_DCF!$F$21*(1+Biomass_DCF!$F$17)^(Biomass_DCF!A96)</f>
        <v>-1034824.5849609373</v>
      </c>
      <c r="S96" s="98">
        <f>-R96*Biomass_DCF!$F$9</f>
        <v>0</v>
      </c>
      <c r="T96" s="124">
        <f t="shared" si="26"/>
        <v>-1034824.5849609373</v>
      </c>
      <c r="U96" s="124">
        <f t="shared" si="30"/>
        <v>-1167782.7545347076</v>
      </c>
      <c r="V96" s="68">
        <f t="shared" si="22"/>
        <v>-797611.3342904906</v>
      </c>
      <c r="AA96" s="140"/>
      <c r="AB96" s="88"/>
      <c r="AC96" s="140"/>
    </row>
    <row r="97" spans="1:29" ht="14.4" x14ac:dyDescent="0.3">
      <c r="A97" s="35">
        <f t="shared" si="23"/>
        <v>5</v>
      </c>
      <c r="B97" s="44">
        <f>1/(1+Biomass_DCF!$F$8)^A97</f>
        <v>0.62092132305915493</v>
      </c>
      <c r="C97" s="36">
        <f>IF(A97&lt;(Biomass_DCF!$F$6+1),1,0)</f>
        <v>1</v>
      </c>
      <c r="D97" s="36">
        <f>IF(A97&lt;(Biomass_DCF!$F$11+1),1,0)</f>
        <v>1</v>
      </c>
      <c r="E97" s="36">
        <f>IF(A97&lt;(Biomass_DCF!$F$12+1),1,0)</f>
        <v>1</v>
      </c>
      <c r="F97" s="98">
        <f xml:space="preserve"> -Biomass_DCF!$F$32*D97</f>
        <v>-80957.666666666672</v>
      </c>
      <c r="G97" s="124">
        <f>-F97*Biomass_DCF!$F$9</f>
        <v>0</v>
      </c>
      <c r="H97" s="124">
        <f>-Biomass_DCF!$F$28*C97</f>
        <v>-106149.53475529385</v>
      </c>
      <c r="I97" s="98">
        <f t="shared" si="27"/>
        <v>498249.61374502024</v>
      </c>
      <c r="J97" s="98">
        <f t="shared" si="24"/>
        <v>429468.80002060288</v>
      </c>
      <c r="K97" s="98">
        <f>-I97*Biomass_DCF!$F$7</f>
        <v>-37368.721030876513</v>
      </c>
      <c r="L97" s="124">
        <f>-(K97*Biomass_DCF!$F$9)</f>
        <v>0</v>
      </c>
      <c r="M97" s="98">
        <f>-Biomass_DCF!$F$15*Biomass_DCF!$F$23*E97*(1+Biomass_DCF!$F$10)^A97</f>
        <v>-27478.850688938466</v>
      </c>
      <c r="N97" s="98">
        <f>M97*Biomass_DCF!$F$9</f>
        <v>0</v>
      </c>
      <c r="O97" s="98">
        <f t="shared" si="28"/>
        <v>0</v>
      </c>
      <c r="P97" s="98">
        <f t="shared" si="29"/>
        <v>0</v>
      </c>
      <c r="Q97" s="124">
        <f t="shared" si="25"/>
        <v>-27478.850688938466</v>
      </c>
      <c r="R97" s="98">
        <f>-E97*Biomass_DCF!$F$21*(1+Biomass_DCF!$F$17)^(Biomass_DCF!A97)</f>
        <v>-1060695.1995849607</v>
      </c>
      <c r="S97" s="98">
        <f>-R97*Biomass_DCF!$F$9</f>
        <v>0</v>
      </c>
      <c r="T97" s="124">
        <f t="shared" si="26"/>
        <v>-1060695.1995849607</v>
      </c>
      <c r="U97" s="124">
        <f t="shared" si="30"/>
        <v>-1194323.585029193</v>
      </c>
      <c r="V97" s="68">
        <f t="shared" si="22"/>
        <v>-741580.98057707958</v>
      </c>
      <c r="AA97" s="140"/>
      <c r="AB97" s="88"/>
      <c r="AC97" s="140"/>
    </row>
    <row r="98" spans="1:29" ht="14.4" x14ac:dyDescent="0.3">
      <c r="A98" s="35">
        <f t="shared" si="23"/>
        <v>6</v>
      </c>
      <c r="B98" s="44">
        <f>1/(1+Biomass_DCF!$F$8)^A98</f>
        <v>0.56447393005377722</v>
      </c>
      <c r="C98" s="36">
        <f>IF(A98&lt;(Biomass_DCF!$F$6+1),1,0)</f>
        <v>1</v>
      </c>
      <c r="D98" s="36">
        <f>IF(A98&lt;(Biomass_DCF!$F$11+1),1,0)</f>
        <v>1</v>
      </c>
      <c r="E98" s="36">
        <f>IF(A98&lt;(Biomass_DCF!$F$12+1),1,0)</f>
        <v>1</v>
      </c>
      <c r="F98" s="98">
        <f xml:space="preserve"> -Biomass_DCF!$F$32*D98</f>
        <v>-80957.666666666672</v>
      </c>
      <c r="G98" s="124">
        <f>-F98*Biomass_DCF!$F$9</f>
        <v>0</v>
      </c>
      <c r="H98" s="124">
        <f>-Biomass_DCF!$F$28*C98</f>
        <v>-106149.53475529385</v>
      </c>
      <c r="I98" s="98">
        <f t="shared" si="27"/>
        <v>429468.80002060288</v>
      </c>
      <c r="J98" s="98">
        <f t="shared" si="24"/>
        <v>355529.42526685423</v>
      </c>
      <c r="K98" s="98">
        <f>-I98*Biomass_DCF!$F$7</f>
        <v>-32210.160001545213</v>
      </c>
      <c r="L98" s="124">
        <f>-(K98*Biomass_DCF!$F$9)</f>
        <v>0</v>
      </c>
      <c r="M98" s="98">
        <f>-Biomass_DCF!$F$15*Biomass_DCF!$F$23*E98*(1+Biomass_DCF!$F$10)^A98</f>
        <v>-28165.821956161926</v>
      </c>
      <c r="N98" s="98">
        <f>M98*Biomass_DCF!$F$9</f>
        <v>0</v>
      </c>
      <c r="O98" s="98">
        <f t="shared" si="28"/>
        <v>0</v>
      </c>
      <c r="P98" s="98">
        <f t="shared" si="29"/>
        <v>0</v>
      </c>
      <c r="Q98" s="124">
        <f t="shared" si="25"/>
        <v>-28165.821956161926</v>
      </c>
      <c r="R98" s="98">
        <f>-E98*Biomass_DCF!$F$21*(1+Biomass_DCF!$F$17)^(Biomass_DCF!A98)</f>
        <v>-1087212.5795745845</v>
      </c>
      <c r="S98" s="98">
        <f>-R98*Biomass_DCF!$F$9</f>
        <v>0</v>
      </c>
      <c r="T98" s="124">
        <f t="shared" si="26"/>
        <v>-1087212.5795745845</v>
      </c>
      <c r="U98" s="124">
        <f t="shared" si="30"/>
        <v>-1221527.9362860403</v>
      </c>
      <c r="V98" s="68">
        <f t="shared" si="22"/>
        <v>-689520.67486586119</v>
      </c>
      <c r="AA98" s="140"/>
      <c r="AB98" s="88"/>
      <c r="AC98" s="140"/>
    </row>
    <row r="99" spans="1:29" ht="14.4" x14ac:dyDescent="0.3">
      <c r="A99" s="35">
        <f t="shared" si="23"/>
        <v>7</v>
      </c>
      <c r="B99" s="44">
        <f>1/(1+Biomass_DCF!$F$8)^A99</f>
        <v>0.51315811823070645</v>
      </c>
      <c r="C99" s="36">
        <f>IF(A99&lt;(Biomass_DCF!$F$6+1),1,0)</f>
        <v>1</v>
      </c>
      <c r="D99" s="36">
        <f>IF(A99&lt;(Biomass_DCF!$F$11+1),1,0)</f>
        <v>1</v>
      </c>
      <c r="E99" s="36">
        <f>IF(A99&lt;(Biomass_DCF!$F$12+1),1,0)</f>
        <v>1</v>
      </c>
      <c r="F99" s="98">
        <f xml:space="preserve"> -Biomass_DCF!$F$32*D99</f>
        <v>-80957.666666666672</v>
      </c>
      <c r="G99" s="124">
        <f>-F99*Biomass_DCF!$F$9</f>
        <v>0</v>
      </c>
      <c r="H99" s="124">
        <f>-Biomass_DCF!$F$28*C99</f>
        <v>-106149.53475529385</v>
      </c>
      <c r="I99" s="98">
        <f t="shared" si="27"/>
        <v>355529.42526685423</v>
      </c>
      <c r="J99" s="98">
        <f t="shared" si="24"/>
        <v>276044.59740657441</v>
      </c>
      <c r="K99" s="98">
        <f>-I99*Biomass_DCF!$F$7</f>
        <v>-26664.706895014067</v>
      </c>
      <c r="L99" s="124">
        <f>-(K99*Biomass_DCF!$F$9)</f>
        <v>0</v>
      </c>
      <c r="M99" s="98">
        <f>-Biomass_DCF!$F$15*Biomass_DCF!$F$23*E99*(1+Biomass_DCF!$F$10)^A99</f>
        <v>-28869.967505065975</v>
      </c>
      <c r="N99" s="98">
        <f>M99*Biomass_DCF!$F$9</f>
        <v>0</v>
      </c>
      <c r="O99" s="98">
        <f t="shared" si="28"/>
        <v>0</v>
      </c>
      <c r="P99" s="98">
        <f t="shared" si="29"/>
        <v>0</v>
      </c>
      <c r="Q99" s="124">
        <f t="shared" si="25"/>
        <v>-28869.967505065975</v>
      </c>
      <c r="R99" s="98">
        <f>-E99*Biomass_DCF!$F$21*(1+Biomass_DCF!$F$17)^(Biomass_DCF!A99)</f>
        <v>-1114392.8940639491</v>
      </c>
      <c r="S99" s="98">
        <f>-R99*Biomass_DCF!$F$9</f>
        <v>0</v>
      </c>
      <c r="T99" s="124">
        <f t="shared" si="26"/>
        <v>-1114392.8940639491</v>
      </c>
      <c r="U99" s="124">
        <f t="shared" si="30"/>
        <v>-1249412.3963243091</v>
      </c>
      <c r="V99" s="68">
        <f t="shared" si="22"/>
        <v>-641146.11419190001</v>
      </c>
      <c r="AA99" s="140"/>
      <c r="AB99" s="88"/>
      <c r="AC99" s="140"/>
    </row>
    <row r="100" spans="1:29" ht="14.4" x14ac:dyDescent="0.3">
      <c r="A100" s="35">
        <f t="shared" si="23"/>
        <v>8</v>
      </c>
      <c r="B100" s="44">
        <f>1/(1+Biomass_DCF!$F$8)^A100</f>
        <v>0.46650738020973315</v>
      </c>
      <c r="C100" s="36">
        <f>IF(A100&lt;(Biomass_DCF!$F$6+1),1,0)</f>
        <v>1</v>
      </c>
      <c r="D100" s="36">
        <f>IF(A100&lt;(Biomass_DCF!$F$11+1),1,0)</f>
        <v>1</v>
      </c>
      <c r="E100" s="36">
        <f>IF(A100&lt;(Biomass_DCF!$F$12+1),1,0)</f>
        <v>1</v>
      </c>
      <c r="F100" s="98">
        <f xml:space="preserve"> -Biomass_DCF!$F$32*D100</f>
        <v>-80957.666666666672</v>
      </c>
      <c r="G100" s="124">
        <f>-F100*Biomass_DCF!$F$9</f>
        <v>0</v>
      </c>
      <c r="H100" s="124">
        <f>-Biomass_DCF!$F$28*C100</f>
        <v>-106149.53475529385</v>
      </c>
      <c r="I100" s="98">
        <f t="shared" si="27"/>
        <v>276044.59740657441</v>
      </c>
      <c r="J100" s="98">
        <f t="shared" si="24"/>
        <v>190598.40745677362</v>
      </c>
      <c r="K100" s="98">
        <f>-I100*Biomass_DCF!$F$7</f>
        <v>-20703.344805493081</v>
      </c>
      <c r="L100" s="124">
        <f>-(K100*Biomass_DCF!$F$9)</f>
        <v>0</v>
      </c>
      <c r="M100" s="98">
        <f>-Biomass_DCF!$F$15*Biomass_DCF!$F$23*E100*(1+Biomass_DCF!$F$10)^A100</f>
        <v>-29591.716692692622</v>
      </c>
      <c r="N100" s="98">
        <f>M100*Biomass_DCF!$F$9</f>
        <v>0</v>
      </c>
      <c r="O100" s="98">
        <f t="shared" si="28"/>
        <v>0</v>
      </c>
      <c r="P100" s="98">
        <f t="shared" si="29"/>
        <v>0</v>
      </c>
      <c r="Q100" s="124">
        <f t="shared" si="25"/>
        <v>-29591.716692692622</v>
      </c>
      <c r="R100" s="98">
        <f>-E100*Biomass_DCF!$F$21*(1+Biomass_DCF!$F$17)^(Biomass_DCF!A100)</f>
        <v>-1142252.7164155478</v>
      </c>
      <c r="S100" s="98">
        <f>-R100*Biomass_DCF!$F$9</f>
        <v>0</v>
      </c>
      <c r="T100" s="124">
        <f t="shared" si="26"/>
        <v>-1142252.7164155478</v>
      </c>
      <c r="U100" s="124">
        <f t="shared" si="30"/>
        <v>-1277993.9678635341</v>
      </c>
      <c r="V100" s="68">
        <f t="shared" si="22"/>
        <v>-596193.61787185923</v>
      </c>
      <c r="AA100" s="140"/>
      <c r="AB100" s="88"/>
      <c r="AC100" s="140"/>
    </row>
    <row r="101" spans="1:29" ht="14.4" x14ac:dyDescent="0.3">
      <c r="A101" s="35">
        <f t="shared" si="23"/>
        <v>9</v>
      </c>
      <c r="B101" s="44">
        <f>1/(1+Biomass_DCF!$F$8)^A101</f>
        <v>0.42409761837248466</v>
      </c>
      <c r="C101" s="36">
        <f>IF(A101&lt;(Biomass_DCF!$F$6+1),1,0)</f>
        <v>1</v>
      </c>
      <c r="D101" s="36">
        <f>IF(A101&lt;(Biomass_DCF!$F$11+1),1,0)</f>
        <v>1</v>
      </c>
      <c r="E101" s="36">
        <f>IF(A101&lt;(Biomass_DCF!$F$12+1),1,0)</f>
        <v>1</v>
      </c>
      <c r="F101" s="98">
        <f xml:space="preserve"> -Biomass_DCF!$F$32*D101</f>
        <v>-80957.666666666672</v>
      </c>
      <c r="G101" s="124">
        <f>-F101*Biomass_DCF!$F$9</f>
        <v>0</v>
      </c>
      <c r="H101" s="124">
        <f>-Biomass_DCF!$F$28*C101</f>
        <v>-106149.53475529385</v>
      </c>
      <c r="I101" s="98">
        <f t="shared" si="27"/>
        <v>190598.40745677362</v>
      </c>
      <c r="J101" s="98">
        <f t="shared" si="24"/>
        <v>98743.753260737794</v>
      </c>
      <c r="K101" s="98">
        <f>-I101*Biomass_DCF!$F$7</f>
        <v>-14294.880559258021</v>
      </c>
      <c r="L101" s="124">
        <f>-(K101*Biomass_DCF!$F$9)</f>
        <v>0</v>
      </c>
      <c r="M101" s="98">
        <f>-Biomass_DCF!$F$15*Biomass_DCF!$F$23*E101*(1+Biomass_DCF!$F$10)^A101</f>
        <v>-30331.509610009933</v>
      </c>
      <c r="N101" s="98">
        <f>M101*Biomass_DCF!$F$9</f>
        <v>0</v>
      </c>
      <c r="O101" s="98">
        <f t="shared" si="28"/>
        <v>0</v>
      </c>
      <c r="P101" s="98">
        <f t="shared" si="29"/>
        <v>0</v>
      </c>
      <c r="Q101" s="124">
        <f t="shared" si="25"/>
        <v>-30331.509610009933</v>
      </c>
      <c r="R101" s="98">
        <f>-E101*Biomass_DCF!$F$21*(1+Biomass_DCF!$F$17)^(Biomass_DCF!A101)</f>
        <v>-1170809.0343259363</v>
      </c>
      <c r="S101" s="98">
        <f>-R101*Biomass_DCF!$F$9</f>
        <v>0</v>
      </c>
      <c r="T101" s="124">
        <f t="shared" si="26"/>
        <v>-1170809.0343259363</v>
      </c>
      <c r="U101" s="124">
        <f t="shared" si="30"/>
        <v>-1307290.0786912402</v>
      </c>
      <c r="V101" s="68">
        <f t="shared" si="22"/>
        <v>-554418.60889493302</v>
      </c>
      <c r="AA101" s="140"/>
      <c r="AB101" s="88"/>
      <c r="AC101" s="140"/>
    </row>
    <row r="102" spans="1:29" ht="14.4" x14ac:dyDescent="0.3">
      <c r="A102" s="35">
        <f t="shared" si="23"/>
        <v>10</v>
      </c>
      <c r="B102" s="44">
        <f>1/(1+Biomass_DCF!$F$8)^A102</f>
        <v>0.38554328942953148</v>
      </c>
      <c r="C102" s="36">
        <f>IF(A102&lt;(Biomass_DCF!$F$6+1),1,0)</f>
        <v>1</v>
      </c>
      <c r="D102" s="36">
        <f>IF(A102&lt;(Biomass_DCF!$F$11+1),1,0)</f>
        <v>1</v>
      </c>
      <c r="E102" s="36">
        <f>IF(A102&lt;(Biomass_DCF!$F$12+1),1,0)</f>
        <v>1</v>
      </c>
      <c r="F102" s="98">
        <f xml:space="preserve"> -Biomass_DCF!$F$32*D102</f>
        <v>-80957.666666666672</v>
      </c>
      <c r="G102" s="124">
        <f>-F102*Biomass_DCF!$F$9</f>
        <v>0</v>
      </c>
      <c r="H102" s="124">
        <f>-Biomass_DCF!$F$28*C102</f>
        <v>-106149.53475529385</v>
      </c>
      <c r="I102" s="98">
        <f t="shared" si="27"/>
        <v>98743.753260737794</v>
      </c>
      <c r="J102" s="98">
        <f t="shared" si="24"/>
        <v>-7.1850081440061331E-10</v>
      </c>
      <c r="K102" s="98">
        <f>-I102*Biomass_DCF!$F$7</f>
        <v>-7405.7814945553346</v>
      </c>
      <c r="L102" s="124">
        <f>-(K102*Biomass_DCF!$F$9)</f>
        <v>0</v>
      </c>
      <c r="M102" s="98">
        <f>-Biomass_DCF!$F$15*Biomass_DCF!$F$23*E102*(1+Biomass_DCF!$F$10)^A102</f>
        <v>-31089.797350260182</v>
      </c>
      <c r="N102" s="98">
        <f>M102*Biomass_DCF!$F$9</f>
        <v>0</v>
      </c>
      <c r="O102" s="98">
        <f t="shared" si="28"/>
        <v>0</v>
      </c>
      <c r="P102" s="98">
        <f t="shared" si="29"/>
        <v>0</v>
      </c>
      <c r="Q102" s="124">
        <f t="shared" si="25"/>
        <v>-31089.797350260182</v>
      </c>
      <c r="R102" s="98">
        <f>-E102*Biomass_DCF!$F$21*(1+Biomass_DCF!$F$17)^(Biomass_DCF!A102)</f>
        <v>-1200079.2601840848</v>
      </c>
      <c r="S102" s="98">
        <f>-R102*Biomass_DCF!$F$9</f>
        <v>0</v>
      </c>
      <c r="T102" s="124">
        <f t="shared" si="26"/>
        <v>-1200079.2601840848</v>
      </c>
      <c r="U102" s="124">
        <f t="shared" si="30"/>
        <v>-1337318.5922896387</v>
      </c>
      <c r="V102" s="68">
        <f t="shared" si="22"/>
        <v>-515594.2090866178</v>
      </c>
      <c r="AA102" s="140"/>
      <c r="AB102" s="88"/>
      <c r="AC102" s="140"/>
    </row>
    <row r="103" spans="1:29" ht="14.4" x14ac:dyDescent="0.3">
      <c r="A103" s="35">
        <f t="shared" si="23"/>
        <v>11</v>
      </c>
      <c r="B103" s="44">
        <f>1/(1+Biomass_DCF!$F$8)^A103</f>
        <v>0.3504938994813922</v>
      </c>
      <c r="C103" s="36">
        <f>IF(A103&lt;(Biomass_DCF!$F$6+1),1,0)</f>
        <v>0</v>
      </c>
      <c r="D103" s="36">
        <f>IF(A103&lt;(Biomass_DCF!$F$11+1),1,0)</f>
        <v>1</v>
      </c>
      <c r="E103" s="36">
        <f>IF(A103&lt;(Biomass_DCF!$F$12+1),1,0)</f>
        <v>1</v>
      </c>
      <c r="F103" s="98">
        <f xml:space="preserve"> -Biomass_DCF!$F$32*D103</f>
        <v>-80957.666666666672</v>
      </c>
      <c r="G103" s="124">
        <f>-F103*Biomass_DCF!$F$9</f>
        <v>0</v>
      </c>
      <c r="H103" s="124">
        <f>-Biomass_DCF!$F$28*C103</f>
        <v>0</v>
      </c>
      <c r="I103" s="98">
        <f t="shared" si="27"/>
        <v>-7.1850081440061331E-10</v>
      </c>
      <c r="J103" s="98">
        <f t="shared" si="24"/>
        <v>-7.7238837548065931E-10</v>
      </c>
      <c r="K103" s="98">
        <f>-I103*Biomass_DCF!$F$7</f>
        <v>5.3887561080045998E-11</v>
      </c>
      <c r="L103" s="124">
        <f>-(K103*Biomass_DCF!$F$9)</f>
        <v>0</v>
      </c>
      <c r="M103" s="98">
        <f>-Biomass_DCF!$F$15*Biomass_DCF!$F$23*E103*(1+Biomass_DCF!$F$10)^A103</f>
        <v>-31867.042284016687</v>
      </c>
      <c r="N103" s="98">
        <f>M103*Biomass_DCF!$F$9</f>
        <v>0</v>
      </c>
      <c r="O103" s="98">
        <f t="shared" si="28"/>
        <v>0</v>
      </c>
      <c r="P103" s="98">
        <f t="shared" si="29"/>
        <v>0</v>
      </c>
      <c r="Q103" s="124">
        <f t="shared" si="25"/>
        <v>-31867.042284016687</v>
      </c>
      <c r="R103" s="98">
        <f>-E103*Biomass_DCF!$F$21*(1+Biomass_DCF!$F$17)^(Biomass_DCF!A103)</f>
        <v>-1230081.2416886869</v>
      </c>
      <c r="S103" s="98">
        <f>-R103*Biomass_DCF!$F$9</f>
        <v>0</v>
      </c>
      <c r="T103" s="124">
        <f t="shared" si="26"/>
        <v>-1230081.2416886869</v>
      </c>
      <c r="U103" s="124">
        <f t="shared" si="30"/>
        <v>-1261948.2839727036</v>
      </c>
      <c r="V103" s="68">
        <f t="shared" si="22"/>
        <v>-442305.17499344418</v>
      </c>
      <c r="AA103" s="140"/>
      <c r="AB103" s="88"/>
      <c r="AC103" s="140"/>
    </row>
    <row r="104" spans="1:29" ht="14.4" x14ac:dyDescent="0.3">
      <c r="A104" s="35">
        <f t="shared" si="23"/>
        <v>12</v>
      </c>
      <c r="B104" s="44">
        <f>1/(1+Biomass_DCF!$F$8)^A104</f>
        <v>0.31863081771035656</v>
      </c>
      <c r="C104" s="36">
        <f>IF(A104&lt;(Biomass_DCF!$F$6+1),1,0)</f>
        <v>0</v>
      </c>
      <c r="D104" s="36">
        <f>IF(A104&lt;(Biomass_DCF!$F$11+1),1,0)</f>
        <v>1</v>
      </c>
      <c r="E104" s="36">
        <f>IF(A104&lt;(Biomass_DCF!$F$12+1),1,0)</f>
        <v>1</v>
      </c>
      <c r="F104" s="98">
        <f xml:space="preserve"> -Biomass_DCF!$F$32*D104</f>
        <v>-80957.666666666672</v>
      </c>
      <c r="G104" s="124">
        <f>-F104*Biomass_DCF!$F$9</f>
        <v>0</v>
      </c>
      <c r="H104" s="124">
        <f>-Biomass_DCF!$F$28*C104</f>
        <v>0</v>
      </c>
      <c r="I104" s="98">
        <f t="shared" si="27"/>
        <v>-7.7238837548065931E-10</v>
      </c>
      <c r="J104" s="98">
        <f t="shared" si="24"/>
        <v>-8.3031750364170877E-10</v>
      </c>
      <c r="K104" s="98">
        <f>-I104*Biomass_DCF!$F$7</f>
        <v>5.7929128161049443E-11</v>
      </c>
      <c r="L104" s="124">
        <f>-(K104*Biomass_DCF!$F$9)</f>
        <v>0</v>
      </c>
      <c r="M104" s="98">
        <f>-Biomass_DCF!$F$15*Biomass_DCF!$F$23*E104*(1+Biomass_DCF!$F$10)^A104</f>
        <v>-32663.718341117099</v>
      </c>
      <c r="N104" s="98">
        <f>M104*Biomass_DCF!$F$9</f>
        <v>0</v>
      </c>
      <c r="O104" s="98">
        <f t="shared" si="28"/>
        <v>0</v>
      </c>
      <c r="P104" s="98">
        <f t="shared" si="29"/>
        <v>0</v>
      </c>
      <c r="Q104" s="124">
        <f t="shared" si="25"/>
        <v>-32663.718341117099</v>
      </c>
      <c r="R104" s="98">
        <f>-E104*Biomass_DCF!$F$21*(1+Biomass_DCF!$F$17)^(Biomass_DCF!A104)</f>
        <v>-1260833.2727309039</v>
      </c>
      <c r="S104" s="98">
        <f>-R104*Biomass_DCF!$F$9</f>
        <v>0</v>
      </c>
      <c r="T104" s="124">
        <f t="shared" si="26"/>
        <v>-1260833.2727309039</v>
      </c>
      <c r="U104" s="124">
        <f t="shared" si="30"/>
        <v>-1293496.991072021</v>
      </c>
      <c r="V104" s="68">
        <f t="shared" si="22"/>
        <v>-412148.00397116382</v>
      </c>
      <c r="AA104" s="140"/>
      <c r="AB104" s="88"/>
      <c r="AC104" s="140"/>
    </row>
    <row r="105" spans="1:29" ht="14.4" x14ac:dyDescent="0.3">
      <c r="A105" s="35">
        <f t="shared" si="23"/>
        <v>13</v>
      </c>
      <c r="B105" s="44">
        <f>1/(1+Biomass_DCF!$F$8)^A105</f>
        <v>0.28966437973668779</v>
      </c>
      <c r="C105" s="36">
        <f>IF(A105&lt;(Biomass_DCF!$F$6+1),1,0)</f>
        <v>0</v>
      </c>
      <c r="D105" s="36">
        <f>IF(A105&lt;(Biomass_DCF!$F$11+1),1,0)</f>
        <v>1</v>
      </c>
      <c r="E105" s="36">
        <f>IF(A105&lt;(Biomass_DCF!$F$12+1),1,0)</f>
        <v>1</v>
      </c>
      <c r="F105" s="98">
        <f xml:space="preserve"> -Biomass_DCF!$F$32*D105</f>
        <v>-80957.666666666672</v>
      </c>
      <c r="G105" s="124">
        <f>-F105*Biomass_DCF!$F$9</f>
        <v>0</v>
      </c>
      <c r="H105" s="124">
        <f>-Biomass_DCF!$F$28*C105</f>
        <v>0</v>
      </c>
      <c r="I105" s="98">
        <f t="shared" si="27"/>
        <v>-8.3031750364170877E-10</v>
      </c>
      <c r="J105" s="98">
        <f t="shared" si="24"/>
        <v>-8.9259131641483689E-10</v>
      </c>
      <c r="K105" s="98">
        <f>-I105*Biomass_DCF!$F$7</f>
        <v>6.2273812773128158E-11</v>
      </c>
      <c r="L105" s="124">
        <f>-(K105*Biomass_DCF!$F$9)</f>
        <v>0</v>
      </c>
      <c r="M105" s="98">
        <f>-Biomass_DCF!$F$15*Biomass_DCF!$F$23*E105*(1+Biomass_DCF!$F$10)^A105</f>
        <v>-33480.311299645029</v>
      </c>
      <c r="N105" s="98">
        <f>M105*Biomass_DCF!$F$9</f>
        <v>0</v>
      </c>
      <c r="O105" s="98">
        <f t="shared" si="28"/>
        <v>0</v>
      </c>
      <c r="P105" s="98">
        <f t="shared" si="29"/>
        <v>0</v>
      </c>
      <c r="Q105" s="124">
        <f t="shared" si="25"/>
        <v>-33480.311299645029</v>
      </c>
      <c r="R105" s="98">
        <f>-E105*Biomass_DCF!$F$21*(1+Biomass_DCF!$F$17)^(Biomass_DCF!A105)</f>
        <v>-1292354.1045491765</v>
      </c>
      <c r="S105" s="98">
        <f>-R105*Biomass_DCF!$F$9</f>
        <v>0</v>
      </c>
      <c r="T105" s="124">
        <f t="shared" si="26"/>
        <v>-1292354.1045491765</v>
      </c>
      <c r="U105" s="124">
        <f t="shared" si="30"/>
        <v>-1325834.4158488216</v>
      </c>
      <c r="V105" s="68">
        <f t="shared" si="22"/>
        <v>-384047.00370040268</v>
      </c>
      <c r="AA105" s="140"/>
      <c r="AB105" s="88"/>
      <c r="AC105" s="140"/>
    </row>
    <row r="106" spans="1:29" ht="14.4" x14ac:dyDescent="0.3">
      <c r="A106" s="35">
        <f t="shared" si="23"/>
        <v>14</v>
      </c>
      <c r="B106" s="44">
        <f>1/(1+Biomass_DCF!$F$8)^A106</f>
        <v>0.26333125430607973</v>
      </c>
      <c r="C106" s="36">
        <f>IF(A106&lt;(Biomass_DCF!$F$6+1),1,0)</f>
        <v>0</v>
      </c>
      <c r="D106" s="36">
        <f>IF(A106&lt;(Biomass_DCF!$F$11+1),1,0)</f>
        <v>1</v>
      </c>
      <c r="E106" s="36">
        <f>IF(A106&lt;(Biomass_DCF!$F$12+1),1,0)</f>
        <v>1</v>
      </c>
      <c r="F106" s="98">
        <f xml:space="preserve"> -Biomass_DCF!$F$32*D106</f>
        <v>-80957.666666666672</v>
      </c>
      <c r="G106" s="124">
        <f>-F106*Biomass_DCF!$F$9</f>
        <v>0</v>
      </c>
      <c r="H106" s="124">
        <f>-Biomass_DCF!$F$28*C106</f>
        <v>0</v>
      </c>
      <c r="I106" s="98">
        <f t="shared" si="27"/>
        <v>-8.9259131641483689E-10</v>
      </c>
      <c r="J106" s="98">
        <f t="shared" si="24"/>
        <v>-9.5953566514594961E-10</v>
      </c>
      <c r="K106" s="98">
        <f>-I106*Biomass_DCF!$F$7</f>
        <v>6.6944348731112767E-11</v>
      </c>
      <c r="L106" s="124">
        <f>-(K106*Biomass_DCF!$F$9)</f>
        <v>0</v>
      </c>
      <c r="M106" s="98">
        <f>-Biomass_DCF!$F$15*Biomass_DCF!$F$23*E106*(1+Biomass_DCF!$F$10)^A106</f>
        <v>-34317.31908213615</v>
      </c>
      <c r="N106" s="98">
        <f>M106*Biomass_DCF!$F$9</f>
        <v>0</v>
      </c>
      <c r="O106" s="98">
        <f t="shared" si="28"/>
        <v>0</v>
      </c>
      <c r="P106" s="98">
        <f t="shared" si="29"/>
        <v>0</v>
      </c>
      <c r="Q106" s="124">
        <f t="shared" si="25"/>
        <v>-34317.31908213615</v>
      </c>
      <c r="R106" s="98">
        <f>-E106*Biomass_DCF!$F$21*(1+Biomass_DCF!$F$17)^(Biomass_DCF!A106)</f>
        <v>-1324662.9571629057</v>
      </c>
      <c r="S106" s="98">
        <f>-R106*Biomass_DCF!$F$9</f>
        <v>0</v>
      </c>
      <c r="T106" s="124">
        <f t="shared" si="26"/>
        <v>-1324662.9571629057</v>
      </c>
      <c r="U106" s="124">
        <f t="shared" si="30"/>
        <v>-1358980.2762450418</v>
      </c>
      <c r="V106" s="68">
        <f t="shared" si="22"/>
        <v>-357861.98072082957</v>
      </c>
      <c r="AA106" s="140"/>
      <c r="AB106" s="88"/>
      <c r="AC106" s="140"/>
    </row>
    <row r="107" spans="1:29" ht="14.4" x14ac:dyDescent="0.3">
      <c r="A107" s="35">
        <f t="shared" si="23"/>
        <v>15</v>
      </c>
      <c r="B107" s="44">
        <f>1/(1+Biomass_DCF!$F$8)^A107</f>
        <v>0.23939204936916339</v>
      </c>
      <c r="C107" s="36">
        <f>IF(A107&lt;(Biomass_DCF!$F$6+1),1,0)</f>
        <v>0</v>
      </c>
      <c r="D107" s="36">
        <f>IF(A107&lt;(Biomass_DCF!$F$11+1),1,0)</f>
        <v>1</v>
      </c>
      <c r="E107" s="36">
        <f>IF(A107&lt;(Biomass_DCF!$F$12+1),1,0)</f>
        <v>1</v>
      </c>
      <c r="F107" s="98">
        <f xml:space="preserve"> -Biomass_DCF!$F$32*D107</f>
        <v>-80957.666666666672</v>
      </c>
      <c r="G107" s="124">
        <f>-F107*Biomass_DCF!$F$9</f>
        <v>0</v>
      </c>
      <c r="H107" s="124">
        <f>-Biomass_DCF!$F$28*C107</f>
        <v>0</v>
      </c>
      <c r="I107" s="98">
        <f t="shared" si="27"/>
        <v>-9.5953566514594961E-10</v>
      </c>
      <c r="J107" s="98">
        <f t="shared" si="24"/>
        <v>-1.0315008400318959E-9</v>
      </c>
      <c r="K107" s="98">
        <f>-I107*Biomass_DCF!$F$7</f>
        <v>7.1965174885946216E-11</v>
      </c>
      <c r="L107" s="124">
        <f>-(K107*Biomass_DCF!$F$9)</f>
        <v>0</v>
      </c>
      <c r="M107" s="98">
        <f>-Biomass_DCF!$F$15*Biomass_DCF!$F$23*E107*(1+Biomass_DCF!$F$10)^A107</f>
        <v>-35175.252059189559</v>
      </c>
      <c r="N107" s="98">
        <f>M107*Biomass_DCF!$F$9</f>
        <v>0</v>
      </c>
      <c r="O107" s="98">
        <f t="shared" si="28"/>
        <v>0</v>
      </c>
      <c r="P107" s="98">
        <f t="shared" si="29"/>
        <v>0</v>
      </c>
      <c r="Q107" s="124">
        <f t="shared" si="25"/>
        <v>-35175.252059189559</v>
      </c>
      <c r="R107" s="98">
        <f>-E107*Biomass_DCF!$F$21*(1+Biomass_DCF!$F$17)^(Biomass_DCF!A107)</f>
        <v>-1357779.5310919785</v>
      </c>
      <c r="S107" s="98">
        <f>-R107*Biomass_DCF!$F$9</f>
        <v>0</v>
      </c>
      <c r="T107" s="124">
        <f t="shared" si="26"/>
        <v>-1357779.5310919785</v>
      </c>
      <c r="U107" s="124">
        <f t="shared" si="30"/>
        <v>-1392954.7831511681</v>
      </c>
      <c r="V107" s="68">
        <f t="shared" si="22"/>
        <v>-333462.30021713674</v>
      </c>
      <c r="AA107" s="140"/>
      <c r="AB107" s="88"/>
      <c r="AC107" s="140"/>
    </row>
    <row r="108" spans="1:29" ht="14.4" x14ac:dyDescent="0.3">
      <c r="A108" s="35">
        <f t="shared" si="23"/>
        <v>16</v>
      </c>
      <c r="B108" s="44">
        <f>1/(1+Biomass_DCF!$F$8)^A108</f>
        <v>0.21762913579014853</v>
      </c>
      <c r="C108" s="36">
        <f>IF(A108&lt;(Biomass_DCF!$F$6+1),1,0)</f>
        <v>0</v>
      </c>
      <c r="D108" s="36">
        <f>IF(A108&lt;(Biomass_DCF!$F$11+1),1,0)</f>
        <v>0</v>
      </c>
      <c r="E108" s="36">
        <f>IF(A108&lt;(Biomass_DCF!$F$12+1),1,0)</f>
        <v>1</v>
      </c>
      <c r="F108" s="98">
        <f xml:space="preserve"> -Biomass_DCF!$F$32*D108</f>
        <v>0</v>
      </c>
      <c r="G108" s="124">
        <f>-F108*Biomass_DCF!$F$9</f>
        <v>0</v>
      </c>
      <c r="H108" s="124">
        <f>-Biomass_DCF!$F$28*C108</f>
        <v>0</v>
      </c>
      <c r="I108" s="98">
        <f t="shared" si="27"/>
        <v>-1.0315008400318959E-9</v>
      </c>
      <c r="J108" s="98">
        <f t="shared" si="24"/>
        <v>-1.108863403034288E-9</v>
      </c>
      <c r="K108" s="98">
        <f>-I108*Biomass_DCF!$F$7</f>
        <v>7.7362563002392185E-11</v>
      </c>
      <c r="L108" s="124">
        <f>-(K108*Biomass_DCF!$F$9)</f>
        <v>0</v>
      </c>
      <c r="M108" s="98">
        <f>-Biomass_DCF!$F$15*Biomass_DCF!$F$23*E108*(1+Biomass_DCF!$F$10)^A108</f>
        <v>-36054.633360669293</v>
      </c>
      <c r="N108" s="98">
        <f>M108*Biomass_DCF!$F$9</f>
        <v>0</v>
      </c>
      <c r="O108" s="98">
        <f t="shared" si="28"/>
        <v>0</v>
      </c>
      <c r="P108" s="98">
        <f t="shared" si="29"/>
        <v>0</v>
      </c>
      <c r="Q108" s="124">
        <f t="shared" si="25"/>
        <v>-36054.633360669293</v>
      </c>
      <c r="R108" s="98">
        <f>-E108*Biomass_DCF!$F$21*(1+Biomass_DCF!$F$17)^(Biomass_DCF!A108)</f>
        <v>-1391724.0193692779</v>
      </c>
      <c r="S108" s="98">
        <f>-R108*Biomass_DCF!$F$9</f>
        <v>0</v>
      </c>
      <c r="T108" s="124">
        <f t="shared" si="26"/>
        <v>-1391724.0193692779</v>
      </c>
      <c r="U108" s="124">
        <f t="shared" si="30"/>
        <v>-1427778.6527299471</v>
      </c>
      <c r="V108" s="68">
        <f t="shared" si="22"/>
        <v>-310726.234293241</v>
      </c>
      <c r="AA108" s="140"/>
      <c r="AB108" s="88"/>
      <c r="AC108" s="140"/>
    </row>
    <row r="109" spans="1:29" ht="14.4" x14ac:dyDescent="0.3">
      <c r="A109" s="35">
        <f t="shared" si="23"/>
        <v>17</v>
      </c>
      <c r="B109" s="44">
        <f>1/(1+Biomass_DCF!$F$8)^A109</f>
        <v>0.19784466890013502</v>
      </c>
      <c r="C109" s="36">
        <f>IF(A109&lt;(Biomass_DCF!$F$6+1),1,0)</f>
        <v>0</v>
      </c>
      <c r="D109" s="36">
        <f>IF(A109&lt;(Biomass_DCF!$F$11+1),1,0)</f>
        <v>0</v>
      </c>
      <c r="E109" s="36">
        <f>IF(A109&lt;(Biomass_DCF!$F$12+1),1,0)</f>
        <v>1</v>
      </c>
      <c r="F109" s="98">
        <f xml:space="preserve"> -Biomass_DCF!$F$32*D109</f>
        <v>0</v>
      </c>
      <c r="G109" s="124">
        <f>-F109*Biomass_DCF!$F$9</f>
        <v>0</v>
      </c>
      <c r="H109" s="124">
        <f>-Biomass_DCF!$F$28*C109</f>
        <v>0</v>
      </c>
      <c r="I109" s="98">
        <f t="shared" si="27"/>
        <v>-1.108863403034288E-9</v>
      </c>
      <c r="J109" s="98">
        <f t="shared" si="24"/>
        <v>-1.1920281582618596E-9</v>
      </c>
      <c r="K109" s="98">
        <f>-I109*Biomass_DCF!$F$7</f>
        <v>8.3164755227571602E-11</v>
      </c>
      <c r="L109" s="124">
        <f>-(K109*Biomass_DCF!$F$9)</f>
        <v>0</v>
      </c>
      <c r="M109" s="98">
        <f>-Biomass_DCF!$F$15*Biomass_DCF!$F$23*E109*(1+Biomass_DCF!$F$10)^A109</f>
        <v>-36955.999194686017</v>
      </c>
      <c r="N109" s="98">
        <f>M109*Biomass_DCF!$F$9</f>
        <v>0</v>
      </c>
      <c r="O109" s="98">
        <f t="shared" si="28"/>
        <v>0</v>
      </c>
      <c r="P109" s="98">
        <f t="shared" si="29"/>
        <v>0</v>
      </c>
      <c r="Q109" s="124">
        <f t="shared" si="25"/>
        <v>-36955.999194686017</v>
      </c>
      <c r="R109" s="98">
        <f>-E109*Biomass_DCF!$F$21*(1+Biomass_DCF!$F$17)^(Biomass_DCF!A109)</f>
        <v>-1426517.1198535096</v>
      </c>
      <c r="S109" s="98">
        <f>-R109*Biomass_DCF!$F$9</f>
        <v>0</v>
      </c>
      <c r="T109" s="124">
        <f t="shared" si="26"/>
        <v>-1426517.1198535096</v>
      </c>
      <c r="U109" s="124">
        <f t="shared" si="30"/>
        <v>-1463473.1190481957</v>
      </c>
      <c r="V109" s="68">
        <f t="shared" si="22"/>
        <v>-289540.35468233813</v>
      </c>
      <c r="AA109" s="140"/>
      <c r="AB109" s="88"/>
      <c r="AC109" s="140"/>
    </row>
    <row r="110" spans="1:29" ht="14.4" x14ac:dyDescent="0.3">
      <c r="A110" s="35">
        <f t="shared" si="23"/>
        <v>18</v>
      </c>
      <c r="B110" s="44">
        <f>1/(1+Biomass_DCF!$F$8)^A110</f>
        <v>0.17985878990921364</v>
      </c>
      <c r="C110" s="36">
        <f>IF(A110&lt;(Biomass_DCF!$F$6+1),1,0)</f>
        <v>0</v>
      </c>
      <c r="D110" s="36">
        <f>IF(A110&lt;(Biomass_DCF!$F$11+1),1,0)</f>
        <v>0</v>
      </c>
      <c r="E110" s="36">
        <f>IF(A110&lt;(Biomass_DCF!$F$12+1),1,0)</f>
        <v>1</v>
      </c>
      <c r="F110" s="98">
        <f xml:space="preserve"> -Biomass_DCF!$F$32*D110</f>
        <v>0</v>
      </c>
      <c r="G110" s="124">
        <f>-F110*Biomass_DCF!$F$9</f>
        <v>0</v>
      </c>
      <c r="H110" s="124">
        <f>-Biomass_DCF!$F$28*C110</f>
        <v>0</v>
      </c>
      <c r="I110" s="98">
        <f t="shared" si="27"/>
        <v>-1.1920281582618596E-9</v>
      </c>
      <c r="J110" s="98">
        <f t="shared" si="24"/>
        <v>-1.2814302701314991E-9</v>
      </c>
      <c r="K110" s="98">
        <f>-I110*Biomass_DCF!$F$7</f>
        <v>8.9402111869639464E-11</v>
      </c>
      <c r="L110" s="124">
        <f>-(K110*Biomass_DCF!$F$9)</f>
        <v>0</v>
      </c>
      <c r="M110" s="98">
        <f>-Biomass_DCF!$F$15*Biomass_DCF!$F$23*E110*(1+Biomass_DCF!$F$10)^A110</f>
        <v>-37879.899174553175</v>
      </c>
      <c r="N110" s="98">
        <f>M110*Biomass_DCF!$F$9</f>
        <v>0</v>
      </c>
      <c r="O110" s="98">
        <f t="shared" si="28"/>
        <v>0</v>
      </c>
      <c r="P110" s="98">
        <f t="shared" si="29"/>
        <v>0</v>
      </c>
      <c r="Q110" s="124">
        <f t="shared" si="25"/>
        <v>-37879.899174553175</v>
      </c>
      <c r="R110" s="98">
        <f>-E110*Biomass_DCF!$F$21*(1+Biomass_DCF!$F$17)^(Biomass_DCF!A110)</f>
        <v>-1462180.0478498475</v>
      </c>
      <c r="S110" s="98">
        <f>-R110*Biomass_DCF!$F$9</f>
        <v>0</v>
      </c>
      <c r="T110" s="124">
        <f t="shared" si="26"/>
        <v>-1462180.0478498475</v>
      </c>
      <c r="U110" s="124">
        <f t="shared" si="30"/>
        <v>-1500059.9470244006</v>
      </c>
      <c r="V110" s="68">
        <f t="shared" si="22"/>
        <v>-269798.96686308779</v>
      </c>
      <c r="AA110" s="140"/>
      <c r="AB110" s="88"/>
      <c r="AC110" s="140"/>
    </row>
    <row r="111" spans="1:29" ht="14.4" x14ac:dyDescent="0.3">
      <c r="A111" s="35">
        <f t="shared" si="23"/>
        <v>19</v>
      </c>
      <c r="B111" s="44">
        <f>1/(1+Biomass_DCF!$F$8)^A111</f>
        <v>0.16350799082655781</v>
      </c>
      <c r="C111" s="36">
        <f>IF(A111&lt;(Biomass_DCF!$F$6+1),1,0)</f>
        <v>0</v>
      </c>
      <c r="D111" s="36">
        <f>IF(A111&lt;(Biomass_DCF!$F$11+1),1,0)</f>
        <v>0</v>
      </c>
      <c r="E111" s="36">
        <f>IF(A111&lt;(Biomass_DCF!$F$12+1),1,0)</f>
        <v>1</v>
      </c>
      <c r="F111" s="98">
        <f xml:space="preserve"> -Biomass_DCF!$F$32*D111</f>
        <v>0</v>
      </c>
      <c r="G111" s="124">
        <f>-F111*Biomass_DCF!$F$9</f>
        <v>0</v>
      </c>
      <c r="H111" s="124">
        <f>-Biomass_DCF!$F$28*C111</f>
        <v>0</v>
      </c>
      <c r="I111" s="98">
        <f t="shared" si="27"/>
        <v>-1.2814302701314991E-9</v>
      </c>
      <c r="J111" s="98">
        <f t="shared" si="24"/>
        <v>-1.3775375403913615E-9</v>
      </c>
      <c r="K111" s="98">
        <f>-I111*Biomass_DCF!$F$7</f>
        <v>9.6107270259862427E-11</v>
      </c>
      <c r="L111" s="124">
        <f>-(K111*Biomass_DCF!$F$9)</f>
        <v>0</v>
      </c>
      <c r="M111" s="98">
        <f>-Biomass_DCF!$F$15*Biomass_DCF!$F$23*E111*(1+Biomass_DCF!$F$10)^A111</f>
        <v>-38826.896653917</v>
      </c>
      <c r="N111" s="98">
        <f>M111*Biomass_DCF!$F$9</f>
        <v>0</v>
      </c>
      <c r="O111" s="98">
        <f t="shared" si="28"/>
        <v>0</v>
      </c>
      <c r="P111" s="98">
        <f t="shared" si="29"/>
        <v>0</v>
      </c>
      <c r="Q111" s="124">
        <f t="shared" si="25"/>
        <v>-38826.896653917</v>
      </c>
      <c r="R111" s="98">
        <f>-E111*Biomass_DCF!$F$21*(1+Biomass_DCF!$F$17)^(Biomass_DCF!A111)</f>
        <v>-1498734.5490460936</v>
      </c>
      <c r="S111" s="98">
        <f>-R111*Biomass_DCF!$F$9</f>
        <v>0</v>
      </c>
      <c r="T111" s="124">
        <f t="shared" si="26"/>
        <v>-1498734.5490460936</v>
      </c>
      <c r="U111" s="124">
        <f t="shared" si="30"/>
        <v>-1537561.4457000105</v>
      </c>
      <c r="V111" s="68">
        <f t="shared" si="22"/>
        <v>-251403.5827587863</v>
      </c>
      <c r="AA111" s="140"/>
      <c r="AB111" s="88"/>
      <c r="AC111" s="140"/>
    </row>
    <row r="112" spans="1:29" ht="14.4" x14ac:dyDescent="0.3">
      <c r="A112" s="35">
        <f t="shared" si="23"/>
        <v>20</v>
      </c>
      <c r="B112" s="44">
        <f>1/(1+Biomass_DCF!$F$8)^A112</f>
        <v>0.14864362802414349</v>
      </c>
      <c r="C112" s="36">
        <f>IF(A112&lt;(Biomass_DCF!$F$6+1),1,0)</f>
        <v>0</v>
      </c>
      <c r="D112" s="36">
        <f>IF(A112&lt;(Biomass_DCF!$F$11+1),1,0)</f>
        <v>0</v>
      </c>
      <c r="E112" s="36">
        <f>IF(A112&lt;(Biomass_DCF!$F$12+1),1,0)</f>
        <v>1</v>
      </c>
      <c r="F112" s="98">
        <f xml:space="preserve"> -Biomass_DCF!$F$32*D112</f>
        <v>0</v>
      </c>
      <c r="G112" s="124">
        <f>-F112*Biomass_DCF!$F$9</f>
        <v>0</v>
      </c>
      <c r="H112" s="124">
        <f>-Biomass_DCF!$F$28*C112</f>
        <v>0</v>
      </c>
      <c r="I112" s="98">
        <f t="shared" si="27"/>
        <v>-1.3775375403913615E-9</v>
      </c>
      <c r="J112" s="98">
        <f t="shared" si="24"/>
        <v>-1.4808528559207136E-9</v>
      </c>
      <c r="K112" s="98">
        <f>-I112*Biomass_DCF!$F$7</f>
        <v>1.033153155293521E-10</v>
      </c>
      <c r="L112" s="124">
        <f>-(K112*Biomass_DCF!$F$9)</f>
        <v>0</v>
      </c>
      <c r="M112" s="98">
        <f>-Biomass_DCF!$F$15*Biomass_DCF!$F$23*E112*(1+Biomass_DCF!$F$10)^A112</f>
        <v>-39797.569070264923</v>
      </c>
      <c r="N112" s="98">
        <f>M112*Biomass_DCF!$F$9</f>
        <v>0</v>
      </c>
      <c r="O112" s="98">
        <f t="shared" si="28"/>
        <v>0</v>
      </c>
      <c r="P112" s="98">
        <f t="shared" si="29"/>
        <v>0</v>
      </c>
      <c r="Q112" s="124">
        <f t="shared" si="25"/>
        <v>-39797.569070264923</v>
      </c>
      <c r="R112" s="98">
        <f>-E112*Biomass_DCF!$F$21*(1+Biomass_DCF!$F$17)^(Biomass_DCF!A112)</f>
        <v>-1536202.9127722459</v>
      </c>
      <c r="S112" s="98">
        <f>-R112*Biomass_DCF!$F$9</f>
        <v>0</v>
      </c>
      <c r="T112" s="124">
        <f t="shared" si="26"/>
        <v>-1536202.9127722459</v>
      </c>
      <c r="U112" s="124">
        <f t="shared" si="30"/>
        <v>-1515282.2318425109</v>
      </c>
      <c r="V112" s="68">
        <f t="shared" si="22"/>
        <v>-225237.04842159213</v>
      </c>
      <c r="AA112" s="140"/>
      <c r="AB112" s="88"/>
      <c r="AC112" s="140"/>
    </row>
    <row r="113" spans="1:29" ht="14.4" x14ac:dyDescent="0.3">
      <c r="A113" s="35">
        <f t="shared" si="23"/>
        <v>21</v>
      </c>
      <c r="B113" s="44">
        <f>1/(1+Biomass_DCF!$F$8)^A113</f>
        <v>0.13513057093103953</v>
      </c>
      <c r="C113" s="36">
        <f>IF(A113&lt;(Biomass_DCF!$F$6+1),1,0)</f>
        <v>0</v>
      </c>
      <c r="D113" s="36">
        <f>IF(A113&lt;(Biomass_DCF!$F$11+1),1,0)</f>
        <v>0</v>
      </c>
      <c r="E113" s="36">
        <f>IF(A113&lt;(Biomass_DCF!$F$12+1),1,0)</f>
        <v>0</v>
      </c>
      <c r="F113" s="98">
        <f xml:space="preserve"> -Biomass_DCF!$F$32*D113</f>
        <v>0</v>
      </c>
      <c r="G113" s="124">
        <f>-F113*Biomass_DCF!$F$9</f>
        <v>0</v>
      </c>
      <c r="H113" s="124">
        <f>-Biomass_DCF!$F$28*C113</f>
        <v>0</v>
      </c>
      <c r="I113" s="98">
        <f t="shared" si="27"/>
        <v>-1.4808528559207136E-9</v>
      </c>
      <c r="J113" s="98">
        <f t="shared" si="24"/>
        <v>-1.5919168201147671E-9</v>
      </c>
      <c r="K113" s="98">
        <f>-I113*Biomass_DCF!$F$7</f>
        <v>1.1106396419405351E-10</v>
      </c>
      <c r="L113" s="124">
        <f>-(K113*Biomass_DCF!$F$9)</f>
        <v>0</v>
      </c>
      <c r="M113" s="98">
        <f>-Biomass_DCF!$F$15*Biomass_DCF!$F$23*E113*(1+Biomass_DCF!$F$10)^A113</f>
        <v>0</v>
      </c>
      <c r="N113" s="98">
        <f>M113*Biomass_DCF!$F$9</f>
        <v>0</v>
      </c>
      <c r="O113" s="98">
        <f t="shared" si="28"/>
        <v>0</v>
      </c>
      <c r="P113" s="98">
        <f t="shared" si="29"/>
        <v>0</v>
      </c>
      <c r="Q113" s="124">
        <f t="shared" si="25"/>
        <v>0</v>
      </c>
      <c r="R113" s="98">
        <f>-E113*Biomass_DCF!$F$21*(1+Biomass_DCF!$F$17)^(Biomass_DCF!A113)</f>
        <v>0</v>
      </c>
      <c r="S113" s="98">
        <f>-R113*Biomass_DCF!$F$9</f>
        <v>0</v>
      </c>
      <c r="T113" s="124">
        <f t="shared" si="26"/>
        <v>0</v>
      </c>
      <c r="U113" s="124">
        <f t="shared" si="30"/>
        <v>0</v>
      </c>
      <c r="V113" s="68">
        <f t="shared" si="22"/>
        <v>0</v>
      </c>
      <c r="AA113" s="140"/>
      <c r="AB113" s="88"/>
      <c r="AC113" s="140"/>
    </row>
    <row r="114" spans="1:29" ht="14.4" x14ac:dyDescent="0.3">
      <c r="A114" s="35">
        <f t="shared" si="23"/>
        <v>22</v>
      </c>
      <c r="B114" s="44">
        <f>1/(1+Biomass_DCF!$F$8)^A114</f>
        <v>0.12284597357367227</v>
      </c>
      <c r="C114" s="36">
        <f>IF(A114&lt;(Biomass_DCF!$F$6+1),1,0)</f>
        <v>0</v>
      </c>
      <c r="D114" s="36">
        <f>IF(A114&lt;(Biomass_DCF!$F$11+1),1,0)</f>
        <v>0</v>
      </c>
      <c r="E114" s="36">
        <f>IF(A114&lt;(Biomass_DCF!$F$12+1),1,0)</f>
        <v>0</v>
      </c>
      <c r="F114" s="98">
        <f xml:space="preserve"> -Biomass_DCF!$F$32*D114</f>
        <v>0</v>
      </c>
      <c r="G114" s="124">
        <f>-F114*Biomass_DCF!$F$9</f>
        <v>0</v>
      </c>
      <c r="H114" s="124">
        <f>-Biomass_DCF!$F$28*C114</f>
        <v>0</v>
      </c>
      <c r="I114" s="98">
        <f t="shared" si="27"/>
        <v>-1.5919168201147671E-9</v>
      </c>
      <c r="J114" s="98">
        <f t="shared" si="24"/>
        <v>-1.7113105816233747E-9</v>
      </c>
      <c r="K114" s="98">
        <f>-I114*Biomass_DCF!$F$7</f>
        <v>1.1939376150860752E-10</v>
      </c>
      <c r="L114" s="124">
        <f>-(K114*Biomass_DCF!$F$9)</f>
        <v>0</v>
      </c>
      <c r="M114" s="98">
        <f>-Biomass_DCF!$F$15*Biomass_DCF!$F$23*E114*(1+Biomass_DCF!$F$10)^A114</f>
        <v>0</v>
      </c>
      <c r="N114" s="98">
        <f>M114*Biomass_DCF!$F$9</f>
        <v>0</v>
      </c>
      <c r="O114" s="98">
        <f t="shared" si="28"/>
        <v>0</v>
      </c>
      <c r="P114" s="98">
        <f t="shared" si="29"/>
        <v>0</v>
      </c>
      <c r="Q114" s="124">
        <f t="shared" si="25"/>
        <v>0</v>
      </c>
      <c r="R114" s="98">
        <f>-E114*Biomass_DCF!$F$21*(1+Biomass_DCF!$F$17)^(Biomass_DCF!A114)</f>
        <v>0</v>
      </c>
      <c r="S114" s="98">
        <f>-R114*Biomass_DCF!$F$9</f>
        <v>0</v>
      </c>
      <c r="T114" s="124">
        <f t="shared" si="26"/>
        <v>0</v>
      </c>
      <c r="U114" s="124">
        <f t="shared" si="30"/>
        <v>0</v>
      </c>
      <c r="V114" s="68">
        <f t="shared" si="22"/>
        <v>0</v>
      </c>
      <c r="AA114" s="140"/>
      <c r="AB114" s="88"/>
      <c r="AC114" s="140"/>
    </row>
    <row r="115" spans="1:29" ht="14.4" x14ac:dyDescent="0.3">
      <c r="A115" s="35">
        <f t="shared" si="23"/>
        <v>23</v>
      </c>
      <c r="B115" s="44">
        <f>1/(1+Biomass_DCF!$F$8)^A115</f>
        <v>0.11167815779424752</v>
      </c>
      <c r="C115" s="36">
        <f>IF(A115&lt;(Biomass_DCF!$F$6+1),1,0)</f>
        <v>0</v>
      </c>
      <c r="D115" s="36">
        <f>IF(A115&lt;(Biomass_DCF!$F$11+1),1,0)</f>
        <v>0</v>
      </c>
      <c r="E115" s="36">
        <f>IF(A115&lt;(Biomass_DCF!$F$12+1),1,0)</f>
        <v>0</v>
      </c>
      <c r="F115" s="98">
        <f xml:space="preserve"> -Biomass_DCF!$F$32*D115</f>
        <v>0</v>
      </c>
      <c r="G115" s="124">
        <f>-F115*Biomass_DCF!$F$9</f>
        <v>0</v>
      </c>
      <c r="H115" s="124">
        <f>-Biomass_DCF!$F$28*C115</f>
        <v>0</v>
      </c>
      <c r="I115" s="98">
        <f t="shared" si="27"/>
        <v>-1.7113105816233747E-9</v>
      </c>
      <c r="J115" s="98">
        <f t="shared" si="24"/>
        <v>-1.8396588752451278E-9</v>
      </c>
      <c r="K115" s="98">
        <f>-I115*Biomass_DCF!$F$7</f>
        <v>1.2834829362175309E-10</v>
      </c>
      <c r="L115" s="124">
        <f>-(K115*Biomass_DCF!$F$9)</f>
        <v>0</v>
      </c>
      <c r="M115" s="98">
        <f>-Biomass_DCF!$F$15*Biomass_DCF!$F$23*E115*(1+Biomass_DCF!$F$10)^A115</f>
        <v>0</v>
      </c>
      <c r="N115" s="98">
        <f>M115*Biomass_DCF!$F$9</f>
        <v>0</v>
      </c>
      <c r="O115" s="98">
        <f t="shared" si="28"/>
        <v>0</v>
      </c>
      <c r="P115" s="98">
        <f t="shared" si="29"/>
        <v>0</v>
      </c>
      <c r="Q115" s="124">
        <f t="shared" si="25"/>
        <v>0</v>
      </c>
      <c r="R115" s="98">
        <f>-E115*Biomass_DCF!$F$21*(1+Biomass_DCF!$F$17)^(Biomass_DCF!A115)</f>
        <v>0</v>
      </c>
      <c r="S115" s="98">
        <f>-R115*Biomass_DCF!$F$9</f>
        <v>0</v>
      </c>
      <c r="T115" s="124">
        <f t="shared" si="26"/>
        <v>0</v>
      </c>
      <c r="U115" s="124">
        <f t="shared" si="30"/>
        <v>0</v>
      </c>
      <c r="V115" s="68">
        <f t="shared" si="22"/>
        <v>0</v>
      </c>
      <c r="AA115" s="140"/>
      <c r="AB115" s="88"/>
      <c r="AC115" s="140"/>
    </row>
    <row r="116" spans="1:29" ht="14.4" x14ac:dyDescent="0.3">
      <c r="A116" s="35">
        <f t="shared" si="23"/>
        <v>24</v>
      </c>
      <c r="B116" s="44">
        <f>1/(1+Biomass_DCF!$F$8)^A116</f>
        <v>0.10152559799477048</v>
      </c>
      <c r="C116" s="36">
        <f>IF(A116&lt;(Biomass_DCF!$F$6+1),1,0)</f>
        <v>0</v>
      </c>
      <c r="D116" s="36">
        <f>IF(A116&lt;(Biomass_DCF!$F$11+1),1,0)</f>
        <v>0</v>
      </c>
      <c r="E116" s="36">
        <f>IF(A116&lt;(Biomass_DCF!$F$12+1),1,0)</f>
        <v>0</v>
      </c>
      <c r="F116" s="98">
        <f xml:space="preserve"> -Biomass_DCF!$F$32*D116</f>
        <v>0</v>
      </c>
      <c r="G116" s="124">
        <f>-F116*Biomass_DCF!$F$9</f>
        <v>0</v>
      </c>
      <c r="H116" s="124">
        <f>-Biomass_DCF!$F$28*C116</f>
        <v>0</v>
      </c>
      <c r="I116" s="98">
        <f t="shared" si="27"/>
        <v>-1.8396588752451278E-9</v>
      </c>
      <c r="J116" s="98">
        <f t="shared" si="24"/>
        <v>-1.9776332908885122E-9</v>
      </c>
      <c r="K116" s="98">
        <f>-I116*Biomass_DCF!$F$7</f>
        <v>1.3797441564338458E-10</v>
      </c>
      <c r="L116" s="124">
        <f>-(K116*Biomass_DCF!$F$9)</f>
        <v>0</v>
      </c>
      <c r="M116" s="98">
        <f>-Biomass_DCF!$F$15*Biomass_DCF!$F$23*E116*(1+Biomass_DCF!$F$10)^A116</f>
        <v>0</v>
      </c>
      <c r="N116" s="98">
        <f>M116*Biomass_DCF!$F$9</f>
        <v>0</v>
      </c>
      <c r="O116" s="98">
        <f t="shared" si="28"/>
        <v>0</v>
      </c>
      <c r="P116" s="98">
        <f t="shared" si="29"/>
        <v>0</v>
      </c>
      <c r="Q116" s="124">
        <f t="shared" si="25"/>
        <v>0</v>
      </c>
      <c r="R116" s="98">
        <f>-E116*Biomass_DCF!$F$21*(1+Biomass_DCF!$F$17)^(Biomass_DCF!A116)</f>
        <v>0</v>
      </c>
      <c r="S116" s="98">
        <f>-R116*Biomass_DCF!$F$9</f>
        <v>0</v>
      </c>
      <c r="T116" s="124">
        <f t="shared" si="26"/>
        <v>0</v>
      </c>
      <c r="U116" s="124">
        <f t="shared" si="30"/>
        <v>0</v>
      </c>
      <c r="V116" s="68">
        <f t="shared" si="22"/>
        <v>0</v>
      </c>
      <c r="AA116" s="140"/>
      <c r="AB116" s="88"/>
      <c r="AC116" s="140"/>
    </row>
    <row r="117" spans="1:29" ht="14.4" x14ac:dyDescent="0.3">
      <c r="A117" s="35">
        <f t="shared" si="23"/>
        <v>25</v>
      </c>
      <c r="B117" s="44">
        <f>1/(1+Biomass_DCF!$F$8)^A117</f>
        <v>9.2295998177064048E-2</v>
      </c>
      <c r="C117" s="36">
        <f>IF(A117&lt;(Biomass_DCF!$F$6+1),1,0)</f>
        <v>0</v>
      </c>
      <c r="D117" s="36">
        <f>IF(A117&lt;(Biomass_DCF!$F$11+1),1,0)</f>
        <v>0</v>
      </c>
      <c r="E117" s="36">
        <f>IF(A117&lt;(Biomass_DCF!$F$12+1),1,0)</f>
        <v>0</v>
      </c>
      <c r="F117" s="98">
        <f xml:space="preserve"> -Biomass_DCF!$F$32*D117</f>
        <v>0</v>
      </c>
      <c r="G117" s="124">
        <f>-F117*Biomass_DCF!$F$9</f>
        <v>0</v>
      </c>
      <c r="H117" s="124">
        <f>-Biomass_DCF!$F$28*C117</f>
        <v>0</v>
      </c>
      <c r="I117" s="98">
        <f t="shared" si="27"/>
        <v>-1.9776332908885122E-9</v>
      </c>
      <c r="J117" s="98">
        <f t="shared" si="24"/>
        <v>-2.1259557877051508E-9</v>
      </c>
      <c r="K117" s="98">
        <f>-I117*Biomass_DCF!$F$7</f>
        <v>1.4832249681663841E-10</v>
      </c>
      <c r="L117" s="124">
        <f>-(K117*Biomass_DCF!$F$9)</f>
        <v>0</v>
      </c>
      <c r="M117" s="98">
        <f>-Biomass_DCF!$F$15*Biomass_DCF!$F$23*E117*(1+Biomass_DCF!$F$10)^A117</f>
        <v>0</v>
      </c>
      <c r="N117" s="98">
        <f>M117*Biomass_DCF!$F$9</f>
        <v>0</v>
      </c>
      <c r="O117" s="98">
        <f t="shared" si="28"/>
        <v>0</v>
      </c>
      <c r="P117" s="98">
        <f t="shared" si="29"/>
        <v>0</v>
      </c>
      <c r="Q117" s="124">
        <f t="shared" si="25"/>
        <v>0</v>
      </c>
      <c r="R117" s="98">
        <f>-E117*Biomass_DCF!$F$21*(1+Biomass_DCF!$F$17)^(Biomass_DCF!A117)</f>
        <v>0</v>
      </c>
      <c r="S117" s="98">
        <f>-R117*Biomass_DCF!$F$9</f>
        <v>0</v>
      </c>
      <c r="T117" s="124">
        <f t="shared" si="26"/>
        <v>0</v>
      </c>
      <c r="U117" s="124">
        <f t="shared" si="30"/>
        <v>0</v>
      </c>
      <c r="V117" s="68">
        <f t="shared" si="22"/>
        <v>0</v>
      </c>
      <c r="AA117" s="140"/>
      <c r="AB117" s="88"/>
      <c r="AC117" s="140"/>
    </row>
    <row r="118" spans="1:29" ht="14.4" x14ac:dyDescent="0.3">
      <c r="A118" s="35">
        <f t="shared" si="23"/>
        <v>26</v>
      </c>
      <c r="B118" s="44">
        <f>1/(1+Biomass_DCF!$F$8)^A118</f>
        <v>8.3905452888240042E-2</v>
      </c>
      <c r="C118" s="36">
        <f>IF(A118&lt;(Biomass_DCF!$F$6+1),1,0)</f>
        <v>0</v>
      </c>
      <c r="D118" s="36">
        <f>IF(A118&lt;(Biomass_DCF!$F$11+1),1,0)</f>
        <v>0</v>
      </c>
      <c r="E118" s="36">
        <f>IF(A118&lt;(Biomass_DCF!$F$12+1),1,0)</f>
        <v>0</v>
      </c>
      <c r="F118" s="98">
        <f xml:space="preserve"> -Biomass_DCF!$F$32*D118</f>
        <v>0</v>
      </c>
      <c r="G118" s="124">
        <f>-F118*Biomass_DCF!$F$9</f>
        <v>0</v>
      </c>
      <c r="H118" s="124">
        <f>-Biomass_DCF!$F$28*C118</f>
        <v>0</v>
      </c>
      <c r="I118" s="98">
        <f t="shared" si="27"/>
        <v>-2.1259557877051508E-9</v>
      </c>
      <c r="J118" s="98">
        <f t="shared" si="24"/>
        <v>-2.2854024717830371E-9</v>
      </c>
      <c r="K118" s="98">
        <f>-I118*Biomass_DCF!$F$7</f>
        <v>1.5944668407788629E-10</v>
      </c>
      <c r="L118" s="124">
        <f>-(K118*Biomass_DCF!$F$9)</f>
        <v>0</v>
      </c>
      <c r="M118" s="98">
        <f>-Biomass_DCF!$F$15*Biomass_DCF!$F$23*E118*(1+Biomass_DCF!$F$10)^A118</f>
        <v>0</v>
      </c>
      <c r="N118" s="98">
        <f>M118*Biomass_DCF!$F$9</f>
        <v>0</v>
      </c>
      <c r="O118" s="98">
        <f t="shared" si="28"/>
        <v>0</v>
      </c>
      <c r="P118" s="98">
        <f t="shared" si="29"/>
        <v>0</v>
      </c>
      <c r="Q118" s="124">
        <f t="shared" si="25"/>
        <v>0</v>
      </c>
      <c r="R118" s="98">
        <f>-E118*Biomass_DCF!$F$21*(1+Biomass_DCF!$F$17)^(Biomass_DCF!A118)</f>
        <v>0</v>
      </c>
      <c r="S118" s="98">
        <f>-R118*Biomass_DCF!$F$9</f>
        <v>0</v>
      </c>
      <c r="T118" s="124">
        <f t="shared" si="26"/>
        <v>0</v>
      </c>
      <c r="U118" s="124">
        <f t="shared" si="30"/>
        <v>0</v>
      </c>
      <c r="V118" s="68">
        <f t="shared" si="22"/>
        <v>0</v>
      </c>
      <c r="AA118" s="140"/>
      <c r="AB118" s="88"/>
      <c r="AC118" s="140"/>
    </row>
    <row r="119" spans="1:29" ht="14.4" x14ac:dyDescent="0.3">
      <c r="A119" s="35">
        <f t="shared" si="23"/>
        <v>27</v>
      </c>
      <c r="B119" s="44">
        <f>1/(1+Biomass_DCF!$F$8)^A119</f>
        <v>7.6277684443854576E-2</v>
      </c>
      <c r="C119" s="36">
        <f>IF(A119&lt;(Biomass_DCF!$F$6+1),1,0)</f>
        <v>0</v>
      </c>
      <c r="D119" s="36">
        <f>IF(A119&lt;(Biomass_DCF!$F$11+1),1,0)</f>
        <v>0</v>
      </c>
      <c r="E119" s="36">
        <f>IF(A119&lt;(Biomass_DCF!$F$12+1),1,0)</f>
        <v>0</v>
      </c>
      <c r="F119" s="98">
        <f xml:space="preserve"> -Biomass_DCF!$F$32*D119</f>
        <v>0</v>
      </c>
      <c r="G119" s="124">
        <f>-F119*Biomass_DCF!$F$9</f>
        <v>0</v>
      </c>
      <c r="H119" s="124">
        <f>-Biomass_DCF!$F$28*C119</f>
        <v>0</v>
      </c>
      <c r="I119" s="98">
        <f t="shared" si="27"/>
        <v>-2.2854024717830371E-9</v>
      </c>
      <c r="J119" s="98">
        <f t="shared" si="24"/>
        <v>-2.4568076571667648E-9</v>
      </c>
      <c r="K119" s="98">
        <f>-I119*Biomass_DCF!$F$7</f>
        <v>1.7140518538372778E-10</v>
      </c>
      <c r="L119" s="124">
        <f>-(K119*Biomass_DCF!$F$9)</f>
        <v>0</v>
      </c>
      <c r="M119" s="98">
        <f>-Biomass_DCF!$F$15*Biomass_DCF!$F$23*E119*(1+Biomass_DCF!$F$10)^A119</f>
        <v>0</v>
      </c>
      <c r="N119" s="98">
        <f>M119*Biomass_DCF!$F$9</f>
        <v>0</v>
      </c>
      <c r="O119" s="98">
        <f t="shared" si="28"/>
        <v>0</v>
      </c>
      <c r="P119" s="98">
        <f t="shared" si="29"/>
        <v>0</v>
      </c>
      <c r="Q119" s="124">
        <f t="shared" si="25"/>
        <v>0</v>
      </c>
      <c r="R119" s="98">
        <f>-E119*Biomass_DCF!$F$21*(1+Biomass_DCF!$F$17)^(Biomass_DCF!A119)</f>
        <v>0</v>
      </c>
      <c r="S119" s="98">
        <f>-R119*Biomass_DCF!$F$9</f>
        <v>0</v>
      </c>
      <c r="T119" s="124">
        <f t="shared" si="26"/>
        <v>0</v>
      </c>
      <c r="U119" s="124">
        <f t="shared" si="30"/>
        <v>0</v>
      </c>
      <c r="V119" s="68">
        <f t="shared" si="22"/>
        <v>0</v>
      </c>
      <c r="AA119" s="140"/>
      <c r="AB119" s="88"/>
      <c r="AC119" s="140"/>
    </row>
    <row r="120" spans="1:29" ht="14.4" x14ac:dyDescent="0.3">
      <c r="A120" s="35">
        <f t="shared" si="23"/>
        <v>28</v>
      </c>
      <c r="B120" s="44">
        <f>1/(1+Biomass_DCF!$F$8)^A120</f>
        <v>6.9343349494413245E-2</v>
      </c>
      <c r="C120" s="36">
        <f>IF(A120&lt;(Biomass_DCF!$F$6+1),1,0)</f>
        <v>0</v>
      </c>
      <c r="D120" s="36">
        <f>IF(A120&lt;(Biomass_DCF!$F$11+1),1,0)</f>
        <v>0</v>
      </c>
      <c r="E120" s="36">
        <f>IF(A120&lt;(Biomass_DCF!$F$12+1),1,0)</f>
        <v>0</v>
      </c>
      <c r="F120" s="98">
        <f xml:space="preserve"> -Biomass_DCF!$F$32*D120</f>
        <v>0</v>
      </c>
      <c r="G120" s="124">
        <f>-F120*Biomass_DCF!$F$9</f>
        <v>0</v>
      </c>
      <c r="H120" s="124">
        <f>-Biomass_DCF!$F$28*C120</f>
        <v>0</v>
      </c>
      <c r="I120" s="98">
        <f t="shared" si="27"/>
        <v>-2.4568076571667648E-9</v>
      </c>
      <c r="J120" s="98">
        <f t="shared" si="24"/>
        <v>-2.6410682314542721E-9</v>
      </c>
      <c r="K120" s="98">
        <f>-I120*Biomass_DCF!$F$7</f>
        <v>1.8426057428750735E-10</v>
      </c>
      <c r="L120" s="124">
        <f>-(K120*Biomass_DCF!$F$9)</f>
        <v>0</v>
      </c>
      <c r="M120" s="98">
        <f>-Biomass_DCF!$F$15*Biomass_DCF!$F$23*E120*(1+Biomass_DCF!$F$10)^A120</f>
        <v>0</v>
      </c>
      <c r="N120" s="98">
        <f>M120*Biomass_DCF!$F$9</f>
        <v>0</v>
      </c>
      <c r="O120" s="98">
        <f t="shared" si="28"/>
        <v>0</v>
      </c>
      <c r="P120" s="98">
        <f t="shared" si="29"/>
        <v>0</v>
      </c>
      <c r="Q120" s="124">
        <f t="shared" si="25"/>
        <v>0</v>
      </c>
      <c r="R120" s="98">
        <f>-E120*Biomass_DCF!$F$21*(1+Biomass_DCF!$F$17)^(Biomass_DCF!A120)</f>
        <v>0</v>
      </c>
      <c r="S120" s="98">
        <f>-R120*Biomass_DCF!$F$9</f>
        <v>0</v>
      </c>
      <c r="T120" s="124">
        <f t="shared" si="26"/>
        <v>0</v>
      </c>
      <c r="U120" s="124">
        <f t="shared" si="30"/>
        <v>0</v>
      </c>
      <c r="V120" s="68">
        <f t="shared" si="22"/>
        <v>0</v>
      </c>
      <c r="AA120" s="140"/>
      <c r="AB120" s="88"/>
      <c r="AC120" s="140"/>
    </row>
    <row r="121" spans="1:29" ht="14.4" x14ac:dyDescent="0.3">
      <c r="A121" s="35">
        <f t="shared" si="23"/>
        <v>29</v>
      </c>
      <c r="B121" s="44">
        <f>1/(1+Biomass_DCF!$F$8)^A121</f>
        <v>6.3039408631284766E-2</v>
      </c>
      <c r="C121" s="36">
        <f>IF(A121&lt;(Biomass_DCF!$F$6+1),1,0)</f>
        <v>0</v>
      </c>
      <c r="D121" s="36">
        <f>IF(A121&lt;(Biomass_DCF!$F$11+1),1,0)</f>
        <v>0</v>
      </c>
      <c r="E121" s="36">
        <f>IF(A121&lt;(Biomass_DCF!$F$12+1),1,0)</f>
        <v>0</v>
      </c>
      <c r="F121" s="98">
        <f xml:space="preserve"> -Biomass_DCF!$F$32*D121</f>
        <v>0</v>
      </c>
      <c r="G121" s="124">
        <f>-F121*Biomass_DCF!$F$9</f>
        <v>0</v>
      </c>
      <c r="H121" s="124">
        <f>-Biomass_DCF!$F$28*C121</f>
        <v>0</v>
      </c>
      <c r="I121" s="98">
        <f t="shared" si="27"/>
        <v>-2.6410682314542721E-9</v>
      </c>
      <c r="J121" s="98">
        <f t="shared" si="24"/>
        <v>-2.8391483488133424E-9</v>
      </c>
      <c r="K121" s="98">
        <f>-I121*Biomass_DCF!$F$7</f>
        <v>1.980801173590704E-10</v>
      </c>
      <c r="L121" s="124">
        <f>-(K121*Biomass_DCF!$F$9)</f>
        <v>0</v>
      </c>
      <c r="M121" s="98">
        <f>-Biomass_DCF!$F$15*Biomass_DCF!$F$23*E121*(1+Biomass_DCF!$F$10)^A121</f>
        <v>0</v>
      </c>
      <c r="N121" s="98">
        <f>M121*Biomass_DCF!$F$9</f>
        <v>0</v>
      </c>
      <c r="O121" s="98">
        <f t="shared" si="28"/>
        <v>0</v>
      </c>
      <c r="P121" s="98">
        <f t="shared" si="29"/>
        <v>0</v>
      </c>
      <c r="Q121" s="124">
        <f t="shared" si="25"/>
        <v>0</v>
      </c>
      <c r="R121" s="98">
        <f>-E121*Biomass_DCF!$F$21*(1+Biomass_DCF!$F$17)^(Biomass_DCF!A121)</f>
        <v>0</v>
      </c>
      <c r="S121" s="98">
        <f>-R121*Biomass_DCF!$F$9</f>
        <v>0</v>
      </c>
      <c r="T121" s="124">
        <f t="shared" si="26"/>
        <v>0</v>
      </c>
      <c r="U121" s="124">
        <f t="shared" si="30"/>
        <v>0</v>
      </c>
      <c r="V121" s="68">
        <f t="shared" si="22"/>
        <v>0</v>
      </c>
      <c r="AA121" s="140"/>
      <c r="AB121" s="88"/>
      <c r="AC121" s="140"/>
    </row>
    <row r="122" spans="1:29" ht="14.4" x14ac:dyDescent="0.3">
      <c r="A122" s="35">
        <f t="shared" si="23"/>
        <v>30</v>
      </c>
      <c r="B122" s="44">
        <f>1/(1+Biomass_DCF!$F$8)^A122</f>
        <v>5.7308553301167964E-2</v>
      </c>
      <c r="C122" s="36">
        <f>IF(A122&lt;(Biomass_DCF!$F$6+1),1,0)</f>
        <v>0</v>
      </c>
      <c r="D122" s="36">
        <f>IF(A122&lt;(Biomass_DCF!$F$11+1),1,0)</f>
        <v>0</v>
      </c>
      <c r="E122" s="36">
        <f>IF(A122&lt;(Biomass_DCF!$F$12+1),1,0)</f>
        <v>0</v>
      </c>
      <c r="F122" s="98">
        <f xml:space="preserve"> -Biomass_DCF!$F$32*D122</f>
        <v>0</v>
      </c>
      <c r="G122" s="124">
        <f>-F122*Biomass_DCF!$F$9</f>
        <v>0</v>
      </c>
      <c r="H122" s="124">
        <f>-Biomass_DCF!$F$28*C122</f>
        <v>0</v>
      </c>
      <c r="I122" s="98">
        <f t="shared" si="27"/>
        <v>-2.8391483488133424E-9</v>
      </c>
      <c r="J122" s="98">
        <f t="shared" si="24"/>
        <v>-3.0520844749743432E-9</v>
      </c>
      <c r="K122" s="98">
        <f>-I122*Biomass_DCF!$F$7</f>
        <v>2.1293612616100067E-10</v>
      </c>
      <c r="L122" s="124">
        <f>-(K122*Biomass_DCF!$F$9)</f>
        <v>0</v>
      </c>
      <c r="M122" s="98">
        <f>-Biomass_DCF!$F$15*Biomass_DCF!$F$23*E122*(1+Biomass_DCF!$F$10)^A122</f>
        <v>0</v>
      </c>
      <c r="N122" s="98">
        <f>M122*Biomass_DCF!$F$9</f>
        <v>0</v>
      </c>
      <c r="O122" s="98">
        <f t="shared" si="28"/>
        <v>0</v>
      </c>
      <c r="P122" s="98">
        <f t="shared" si="29"/>
        <v>0</v>
      </c>
      <c r="Q122" s="124">
        <f t="shared" si="25"/>
        <v>0</v>
      </c>
      <c r="R122" s="98">
        <f>-E122*Biomass_DCF!$F$21*(1+Biomass_DCF!$F$17)^(Biomass_DCF!A122)</f>
        <v>0</v>
      </c>
      <c r="S122" s="98">
        <f>-R122*Biomass_DCF!$F$9</f>
        <v>0</v>
      </c>
      <c r="T122" s="124">
        <f t="shared" si="26"/>
        <v>0</v>
      </c>
      <c r="U122" s="124">
        <f t="shared" si="30"/>
        <v>0</v>
      </c>
      <c r="V122" s="68">
        <f t="shared" si="22"/>
        <v>0</v>
      </c>
      <c r="AA122" s="140"/>
      <c r="AB122" s="88"/>
      <c r="AC122" s="140"/>
    </row>
    <row r="123" spans="1:29" ht="14.4" x14ac:dyDescent="0.3">
      <c r="A123" s="35">
        <f t="shared" si="23"/>
        <v>31</v>
      </c>
      <c r="B123" s="44">
        <f>1/(1+Biomass_DCF!$F$8)^A123</f>
        <v>5.2098684819243603E-2</v>
      </c>
      <c r="C123" s="36">
        <f>IF(A123&lt;(Biomass_DCF!$F$6+1),1,0)</f>
        <v>0</v>
      </c>
      <c r="D123" s="36">
        <f>IF(A123&lt;(Biomass_DCF!$F$11+1),1,0)</f>
        <v>0</v>
      </c>
      <c r="E123" s="36">
        <f>IF(A123&lt;(Biomass_DCF!$F$12+1),1,0)</f>
        <v>0</v>
      </c>
      <c r="F123" s="98">
        <f xml:space="preserve"> -Biomass_DCF!$F$32*D123</f>
        <v>0</v>
      </c>
      <c r="G123" s="124">
        <f>-F123*Biomass_DCF!$F$9</f>
        <v>0</v>
      </c>
      <c r="H123" s="124">
        <f>-Biomass_DCF!$F$28*C123</f>
        <v>0</v>
      </c>
      <c r="I123" s="98">
        <f t="shared" si="27"/>
        <v>-3.0520844749743432E-9</v>
      </c>
      <c r="J123" s="98">
        <f t="shared" si="24"/>
        <v>-3.2809908105974187E-9</v>
      </c>
      <c r="K123" s="98">
        <f>-I123*Biomass_DCF!$F$7</f>
        <v>2.2890633562307573E-10</v>
      </c>
      <c r="L123" s="124">
        <f>-(K123*Biomass_DCF!$F$9)</f>
        <v>0</v>
      </c>
      <c r="M123" s="98">
        <f>-Biomass_DCF!$F$15*Biomass_DCF!$F$23*E123*(1+Biomass_DCF!$F$10)^A123</f>
        <v>0</v>
      </c>
      <c r="N123" s="98">
        <f>M123*Biomass_DCF!$F$9</f>
        <v>0</v>
      </c>
      <c r="O123" s="98">
        <f t="shared" si="28"/>
        <v>0</v>
      </c>
      <c r="P123" s="98">
        <f t="shared" si="29"/>
        <v>0</v>
      </c>
      <c r="Q123" s="124">
        <f t="shared" si="25"/>
        <v>0</v>
      </c>
      <c r="R123" s="98">
        <f>-E123*Biomass_DCF!$F$21*(1+Biomass_DCF!$F$17)^(Biomass_DCF!A123)</f>
        <v>0</v>
      </c>
      <c r="S123" s="98">
        <f>-R123*Biomass_DCF!$F$9</f>
        <v>0</v>
      </c>
      <c r="T123" s="124">
        <f t="shared" si="26"/>
        <v>0</v>
      </c>
      <c r="U123" s="124">
        <f t="shared" si="30"/>
        <v>0</v>
      </c>
      <c r="V123" s="68">
        <f t="shared" si="22"/>
        <v>0</v>
      </c>
      <c r="AA123" s="140"/>
      <c r="AB123" s="88"/>
      <c r="AC123" s="140"/>
    </row>
    <row r="124" spans="1:29" ht="14.4" x14ac:dyDescent="0.3">
      <c r="A124" s="35">
        <f t="shared" si="23"/>
        <v>32</v>
      </c>
      <c r="B124" s="44">
        <f>1/(1+Biomass_DCF!$F$8)^A124</f>
        <v>4.7362440744766907E-2</v>
      </c>
      <c r="C124" s="36">
        <f>IF(A124&lt;(Biomass_DCF!$F$6+1),1,0)</f>
        <v>0</v>
      </c>
      <c r="D124" s="36">
        <f>IF(A124&lt;(Biomass_DCF!$F$11+1),1,0)</f>
        <v>0</v>
      </c>
      <c r="E124" s="36">
        <f>IF(A124&lt;(Biomass_DCF!$F$12+1),1,0)</f>
        <v>0</v>
      </c>
      <c r="F124" s="98">
        <f xml:space="preserve"> -Biomass_DCF!$F$32*D124</f>
        <v>0</v>
      </c>
      <c r="G124" s="124">
        <f>-F124*Biomass_DCF!$F$9</f>
        <v>0</v>
      </c>
      <c r="H124" s="124">
        <f>-Biomass_DCF!$F$28*C124</f>
        <v>0</v>
      </c>
      <c r="I124" s="98">
        <f t="shared" si="27"/>
        <v>-3.2809908105974187E-9</v>
      </c>
      <c r="J124" s="98">
        <f t="shared" si="24"/>
        <v>-3.5270651213922253E-9</v>
      </c>
      <c r="K124" s="98">
        <f>-I124*Biomass_DCF!$F$7</f>
        <v>2.4607431079480639E-10</v>
      </c>
      <c r="L124" s="124">
        <f>-(K124*Biomass_DCF!$F$9)</f>
        <v>0</v>
      </c>
      <c r="M124" s="98">
        <f>-Biomass_DCF!$F$15*Biomass_DCF!$F$23*E124*(1+Biomass_DCF!$F$10)^A124</f>
        <v>0</v>
      </c>
      <c r="N124" s="98">
        <f>M124*Biomass_DCF!$F$9</f>
        <v>0</v>
      </c>
      <c r="O124" s="98">
        <f t="shared" si="28"/>
        <v>0</v>
      </c>
      <c r="P124" s="98">
        <f t="shared" si="29"/>
        <v>0</v>
      </c>
      <c r="Q124" s="124">
        <f t="shared" si="25"/>
        <v>0</v>
      </c>
      <c r="R124" s="98">
        <f>-E124*Biomass_DCF!$F$21*(1+Biomass_DCF!$F$17)^(Biomass_DCF!A124)</f>
        <v>0</v>
      </c>
      <c r="S124" s="98">
        <f>-R124*Biomass_DCF!$F$9</f>
        <v>0</v>
      </c>
      <c r="T124" s="124">
        <f t="shared" si="26"/>
        <v>0</v>
      </c>
      <c r="U124" s="124">
        <f t="shared" si="30"/>
        <v>0</v>
      </c>
      <c r="V124" s="68">
        <f t="shared" si="22"/>
        <v>0</v>
      </c>
      <c r="AA124" s="140"/>
      <c r="AB124" s="88"/>
      <c r="AC124" s="140"/>
    </row>
    <row r="125" spans="1:29" ht="14.4" x14ac:dyDescent="0.3">
      <c r="A125" s="35">
        <f t="shared" si="23"/>
        <v>33</v>
      </c>
      <c r="B125" s="44">
        <f>1/(1+Biomass_DCF!$F$8)^A125</f>
        <v>4.3056764313424457E-2</v>
      </c>
      <c r="C125" s="36">
        <f>IF(A125&lt;(Biomass_DCF!$F$6+1),1,0)</f>
        <v>0</v>
      </c>
      <c r="D125" s="36">
        <f>IF(A125&lt;(Biomass_DCF!$F$11+1),1,0)</f>
        <v>0</v>
      </c>
      <c r="E125" s="36">
        <f>IF(A125&lt;(Biomass_DCF!$F$12+1),1,0)</f>
        <v>0</v>
      </c>
      <c r="F125" s="98">
        <f xml:space="preserve"> -Biomass_DCF!$F$32*D125</f>
        <v>0</v>
      </c>
      <c r="G125" s="124">
        <f>-F125*Biomass_DCF!$F$9</f>
        <v>0</v>
      </c>
      <c r="H125" s="124">
        <f>-Biomass_DCF!$F$28*C125</f>
        <v>0</v>
      </c>
      <c r="I125" s="98">
        <f t="shared" si="27"/>
        <v>-3.5270651213922253E-9</v>
      </c>
      <c r="J125" s="98">
        <f t="shared" si="24"/>
        <v>-3.7915950054966425E-9</v>
      </c>
      <c r="K125" s="98">
        <f>-I125*Biomass_DCF!$F$7</f>
        <v>2.645298841044169E-10</v>
      </c>
      <c r="L125" s="124">
        <f>-(K125*Biomass_DCF!$F$9)</f>
        <v>0</v>
      </c>
      <c r="M125" s="98">
        <f>-Biomass_DCF!$F$15*Biomass_DCF!$F$23*E125*(1+Biomass_DCF!$F$10)^A125</f>
        <v>0</v>
      </c>
      <c r="N125" s="98">
        <f>M125*Biomass_DCF!$F$9</f>
        <v>0</v>
      </c>
      <c r="O125" s="98">
        <f t="shared" si="28"/>
        <v>0</v>
      </c>
      <c r="P125" s="98">
        <f t="shared" si="29"/>
        <v>0</v>
      </c>
      <c r="Q125" s="124">
        <f t="shared" si="25"/>
        <v>0</v>
      </c>
      <c r="R125" s="98">
        <f>-E125*Biomass_DCF!$F$21*(1+Biomass_DCF!$F$17)^(Biomass_DCF!A125)</f>
        <v>0</v>
      </c>
      <c r="S125" s="98">
        <f>-R125*Biomass_DCF!$F$9</f>
        <v>0</v>
      </c>
      <c r="T125" s="124">
        <f t="shared" si="26"/>
        <v>0</v>
      </c>
      <c r="U125" s="124">
        <f t="shared" si="30"/>
        <v>0</v>
      </c>
      <c r="V125" s="68">
        <f t="shared" si="22"/>
        <v>0</v>
      </c>
      <c r="AA125" s="140"/>
      <c r="AB125" s="88"/>
      <c r="AC125" s="140"/>
    </row>
    <row r="126" spans="1:29" ht="14.4" x14ac:dyDescent="0.3">
      <c r="A126" s="35">
        <f t="shared" si="23"/>
        <v>34</v>
      </c>
      <c r="B126" s="44">
        <f>1/(1+Biomass_DCF!$F$8)^A126</f>
        <v>3.9142513012204054E-2</v>
      </c>
      <c r="C126" s="36">
        <f>IF(A126&lt;(Biomass_DCF!$F$6+1),1,0)</f>
        <v>0</v>
      </c>
      <c r="D126" s="36">
        <f>IF(A126&lt;(Biomass_DCF!$F$11+1),1,0)</f>
        <v>0</v>
      </c>
      <c r="E126" s="36">
        <f>IF(A126&lt;(Biomass_DCF!$F$12+1),1,0)</f>
        <v>0</v>
      </c>
      <c r="F126" s="98">
        <f xml:space="preserve"> -Biomass_DCF!$F$32*D126</f>
        <v>0</v>
      </c>
      <c r="G126" s="124">
        <f>-F126*Biomass_DCF!$F$9</f>
        <v>0</v>
      </c>
      <c r="H126" s="124">
        <f>-Biomass_DCF!$F$28*C126</f>
        <v>0</v>
      </c>
      <c r="I126" s="98">
        <f t="shared" si="27"/>
        <v>-3.7915950054966425E-9</v>
      </c>
      <c r="J126" s="98">
        <f t="shared" si="24"/>
        <v>-4.0759646309088906E-9</v>
      </c>
      <c r="K126" s="98">
        <f>-I126*Biomass_DCF!$F$7</f>
        <v>2.8436962541224816E-10</v>
      </c>
      <c r="L126" s="124">
        <f>-(K126*Biomass_DCF!$F$9)</f>
        <v>0</v>
      </c>
      <c r="M126" s="98">
        <f>-Biomass_DCF!$F$15*Biomass_DCF!$F$23*E126*(1+Biomass_DCF!$F$10)^A126</f>
        <v>0</v>
      </c>
      <c r="N126" s="98">
        <f>M126*Biomass_DCF!$F$9</f>
        <v>0</v>
      </c>
      <c r="O126" s="98">
        <f t="shared" si="28"/>
        <v>0</v>
      </c>
      <c r="P126" s="98">
        <f t="shared" si="29"/>
        <v>0</v>
      </c>
      <c r="Q126" s="124">
        <f t="shared" si="25"/>
        <v>0</v>
      </c>
      <c r="R126" s="98">
        <f>-E126*Biomass_DCF!$F$21*(1+Biomass_DCF!$F$17)^(Biomass_DCF!A126)</f>
        <v>0</v>
      </c>
      <c r="S126" s="98">
        <f>-R126*Biomass_DCF!$F$9</f>
        <v>0</v>
      </c>
      <c r="T126" s="124">
        <f t="shared" si="26"/>
        <v>0</v>
      </c>
      <c r="U126" s="124">
        <f t="shared" si="30"/>
        <v>0</v>
      </c>
      <c r="V126" s="68">
        <f t="shared" si="22"/>
        <v>0</v>
      </c>
      <c r="AA126" s="140"/>
      <c r="AB126" s="88"/>
      <c r="AC126" s="140"/>
    </row>
    <row r="127" spans="1:29" ht="14.4" x14ac:dyDescent="0.3">
      <c r="A127" s="35">
        <f t="shared" si="23"/>
        <v>35</v>
      </c>
      <c r="B127" s="44">
        <f>1/(1+Biomass_DCF!$F$8)^A127</f>
        <v>3.5584102738367311E-2</v>
      </c>
      <c r="C127" s="36">
        <f>IF(A127&lt;(Biomass_DCF!$F$6+1),1,0)</f>
        <v>0</v>
      </c>
      <c r="D127" s="36">
        <f>IF(A127&lt;(Biomass_DCF!$F$11+1),1,0)</f>
        <v>0</v>
      </c>
      <c r="E127" s="36">
        <f>IF(A127&lt;(Biomass_DCF!$F$12+1),1,0)</f>
        <v>0</v>
      </c>
      <c r="F127" s="98">
        <f xml:space="preserve"> -Biomass_DCF!$F$32*D127</f>
        <v>0</v>
      </c>
      <c r="G127" s="124">
        <f>-F127*Biomass_DCF!$F$9</f>
        <v>0</v>
      </c>
      <c r="H127" s="124">
        <f>-Biomass_DCF!$F$28*C127</f>
        <v>0</v>
      </c>
      <c r="I127" s="98">
        <f t="shared" si="27"/>
        <v>-4.0759646309088906E-9</v>
      </c>
      <c r="J127" s="98">
        <f t="shared" si="24"/>
        <v>-4.3816619782270575E-9</v>
      </c>
      <c r="K127" s="98">
        <f>-I127*Biomass_DCF!$F$7</f>
        <v>3.0569734731816679E-10</v>
      </c>
      <c r="L127" s="124">
        <f>-(K127*Biomass_DCF!$F$9)</f>
        <v>0</v>
      </c>
      <c r="M127" s="98">
        <f>-Biomass_DCF!$F$15*Biomass_DCF!$F$23*E127*(1+Biomass_DCF!$F$10)^A127</f>
        <v>0</v>
      </c>
      <c r="N127" s="98">
        <f>M127*Biomass_DCF!$F$9</f>
        <v>0</v>
      </c>
      <c r="O127" s="98">
        <f t="shared" si="28"/>
        <v>0</v>
      </c>
      <c r="P127" s="98">
        <f t="shared" si="29"/>
        <v>0</v>
      </c>
      <c r="Q127" s="124">
        <f t="shared" si="25"/>
        <v>0</v>
      </c>
      <c r="R127" s="98">
        <f>-E127*Biomass_DCF!$F$21*(1+Biomass_DCF!$F$17)^(Biomass_DCF!A127)</f>
        <v>0</v>
      </c>
      <c r="S127" s="98">
        <f>-R127*Biomass_DCF!$F$9</f>
        <v>0</v>
      </c>
      <c r="T127" s="124">
        <f t="shared" si="26"/>
        <v>0</v>
      </c>
      <c r="U127" s="124">
        <f t="shared" si="30"/>
        <v>0</v>
      </c>
      <c r="V127" s="68">
        <f t="shared" si="22"/>
        <v>0</v>
      </c>
      <c r="AA127" s="140"/>
      <c r="AB127" s="88"/>
      <c r="AC127" s="140"/>
    </row>
    <row r="128" spans="1:29" ht="14.4" x14ac:dyDescent="0.3">
      <c r="A128" s="35">
        <f t="shared" si="23"/>
        <v>36</v>
      </c>
      <c r="B128" s="44">
        <f>1/(1+Biomass_DCF!$F$8)^A128</f>
        <v>3.2349184307606652E-2</v>
      </c>
      <c r="C128" s="36">
        <f>IF(A128&lt;(Biomass_DCF!$F$6+1),1,0)</f>
        <v>0</v>
      </c>
      <c r="D128" s="36">
        <f>IF(A128&lt;(Biomass_DCF!$F$11+1),1,0)</f>
        <v>0</v>
      </c>
      <c r="E128" s="36">
        <f>IF(A128&lt;(Biomass_DCF!$F$12+1),1,0)</f>
        <v>0</v>
      </c>
      <c r="F128" s="98">
        <f xml:space="preserve"> -Biomass_DCF!$F$32*D128</f>
        <v>0</v>
      </c>
      <c r="G128" s="124">
        <f>-F128*Biomass_DCF!$F$9</f>
        <v>0</v>
      </c>
      <c r="H128" s="124">
        <f>-Biomass_DCF!$F$28*C128</f>
        <v>0</v>
      </c>
      <c r="I128" s="98">
        <f t="shared" si="27"/>
        <v>-4.3816619782270575E-9</v>
      </c>
      <c r="J128" s="98">
        <f t="shared" si="24"/>
        <v>-4.7102866265940867E-9</v>
      </c>
      <c r="K128" s="98">
        <f>-I128*Biomass_DCF!$F$7</f>
        <v>3.2862464836702929E-10</v>
      </c>
      <c r="L128" s="124">
        <f>-(K128*Biomass_DCF!$F$9)</f>
        <v>0</v>
      </c>
      <c r="M128" s="98">
        <f>-Biomass_DCF!$F$15*Biomass_DCF!$F$23*E128*(1+Biomass_DCF!$F$10)^A128</f>
        <v>0</v>
      </c>
      <c r="N128" s="98">
        <f>M128*Biomass_DCF!$F$9</f>
        <v>0</v>
      </c>
      <c r="O128" s="98">
        <f t="shared" si="28"/>
        <v>0</v>
      </c>
      <c r="P128" s="98">
        <f t="shared" si="29"/>
        <v>0</v>
      </c>
      <c r="Q128" s="124">
        <f t="shared" si="25"/>
        <v>0</v>
      </c>
      <c r="R128" s="98">
        <f>-E128*Biomass_DCF!$F$21*(1+Biomass_DCF!$F$17)^(Biomass_DCF!A128)</f>
        <v>0</v>
      </c>
      <c r="S128" s="98">
        <f>-R128*Biomass_DCF!$F$9</f>
        <v>0</v>
      </c>
      <c r="T128" s="124">
        <f t="shared" si="26"/>
        <v>0</v>
      </c>
      <c r="U128" s="124">
        <f t="shared" si="30"/>
        <v>0</v>
      </c>
      <c r="V128" s="68">
        <f t="shared" si="22"/>
        <v>0</v>
      </c>
      <c r="AA128" s="140"/>
      <c r="AB128" s="88"/>
      <c r="AC128" s="140"/>
    </row>
    <row r="129" spans="1:29" ht="14.4" x14ac:dyDescent="0.3">
      <c r="A129" s="35">
        <f t="shared" si="23"/>
        <v>37</v>
      </c>
      <c r="B129" s="44">
        <f>1/(1+Biomass_DCF!$F$8)^A129</f>
        <v>2.94083493705515E-2</v>
      </c>
      <c r="C129" s="36">
        <f>IF(A129&lt;(Biomass_DCF!$F$6+1),1,0)</f>
        <v>0</v>
      </c>
      <c r="D129" s="36">
        <f>IF(A129&lt;(Biomass_DCF!$F$11+1),1,0)</f>
        <v>0</v>
      </c>
      <c r="E129" s="36">
        <f>IF(A129&lt;(Biomass_DCF!$F$12+1),1,0)</f>
        <v>0</v>
      </c>
      <c r="F129" s="98">
        <f xml:space="preserve"> -Biomass_DCF!$F$32*D129</f>
        <v>0</v>
      </c>
      <c r="G129" s="124">
        <f>-F129*Biomass_DCF!$F$9</f>
        <v>0</v>
      </c>
      <c r="H129" s="124">
        <f>-Biomass_DCF!$F$28*C129</f>
        <v>0</v>
      </c>
      <c r="I129" s="98">
        <f t="shared" si="27"/>
        <v>-4.7102866265940867E-9</v>
      </c>
      <c r="J129" s="98">
        <f t="shared" si="24"/>
        <v>-5.063558123588643E-9</v>
      </c>
      <c r="K129" s="98">
        <f>-I129*Biomass_DCF!$F$7</f>
        <v>3.5327149699455647E-10</v>
      </c>
      <c r="L129" s="124">
        <f>-(K129*Biomass_DCF!$F$9)</f>
        <v>0</v>
      </c>
      <c r="M129" s="98">
        <f>-Biomass_DCF!$F$15*Biomass_DCF!$F$23*E129*(1+Biomass_DCF!$F$10)^A129</f>
        <v>0</v>
      </c>
      <c r="N129" s="98">
        <f>M129*Biomass_DCF!$F$9</f>
        <v>0</v>
      </c>
      <c r="O129" s="98">
        <f t="shared" si="28"/>
        <v>0</v>
      </c>
      <c r="P129" s="98">
        <f t="shared" si="29"/>
        <v>0</v>
      </c>
      <c r="Q129" s="124">
        <f t="shared" si="25"/>
        <v>0</v>
      </c>
      <c r="R129" s="98">
        <f>-E129*Biomass_DCF!$F$21*(1+Biomass_DCF!$F$17)^(Biomass_DCF!A129)</f>
        <v>0</v>
      </c>
      <c r="S129" s="98">
        <f>-R129*Biomass_DCF!$F$9</f>
        <v>0</v>
      </c>
      <c r="T129" s="124">
        <f t="shared" si="26"/>
        <v>0</v>
      </c>
      <c r="U129" s="124">
        <f t="shared" si="30"/>
        <v>0</v>
      </c>
      <c r="V129" s="68">
        <f t="shared" si="22"/>
        <v>0</v>
      </c>
      <c r="AA129" s="140"/>
      <c r="AB129" s="88"/>
      <c r="AC129" s="140"/>
    </row>
    <row r="130" spans="1:29" ht="14.4" x14ac:dyDescent="0.3">
      <c r="A130" s="35">
        <f t="shared" si="23"/>
        <v>38</v>
      </c>
      <c r="B130" s="44">
        <f>1/(1+Biomass_DCF!$F$8)^A130</f>
        <v>2.6734863064137721E-2</v>
      </c>
      <c r="C130" s="36">
        <f>IF(A130&lt;(Biomass_DCF!$F$6+1),1,0)</f>
        <v>0</v>
      </c>
      <c r="D130" s="36">
        <f>IF(A130&lt;(Biomass_DCF!$F$11+1),1,0)</f>
        <v>0</v>
      </c>
      <c r="E130" s="36">
        <f>IF(A130&lt;(Biomass_DCF!$F$12+1),1,0)</f>
        <v>0</v>
      </c>
      <c r="F130" s="98">
        <f xml:space="preserve"> -Biomass_DCF!$F$32*D130</f>
        <v>0</v>
      </c>
      <c r="G130" s="124">
        <f>-F130*Biomass_DCF!$F$9</f>
        <v>0</v>
      </c>
      <c r="H130" s="124">
        <f>-Biomass_DCF!$F$28*C130</f>
        <v>0</v>
      </c>
      <c r="I130" s="98">
        <f t="shared" si="27"/>
        <v>-5.063558123588643E-9</v>
      </c>
      <c r="J130" s="98">
        <f t="shared" si="24"/>
        <v>-5.4433249828577916E-9</v>
      </c>
      <c r="K130" s="98">
        <f>-I130*Biomass_DCF!$F$7</f>
        <v>3.7976685926914823E-10</v>
      </c>
      <c r="L130" s="124">
        <f>-(K130*Biomass_DCF!$F$9)</f>
        <v>0</v>
      </c>
      <c r="M130" s="98">
        <f>-Biomass_DCF!$F$15*Biomass_DCF!$F$23*E130*(1+Biomass_DCF!$F$10)^A130</f>
        <v>0</v>
      </c>
      <c r="N130" s="98">
        <f>M130*Biomass_DCF!$F$9</f>
        <v>0</v>
      </c>
      <c r="O130" s="98">
        <f t="shared" si="28"/>
        <v>0</v>
      </c>
      <c r="P130" s="98">
        <f t="shared" si="29"/>
        <v>0</v>
      </c>
      <c r="Q130" s="124">
        <f t="shared" si="25"/>
        <v>0</v>
      </c>
      <c r="R130" s="98">
        <f>-E130*Biomass_DCF!$F$21*(1+Biomass_DCF!$F$17)^(Biomass_DCF!A130)</f>
        <v>0</v>
      </c>
      <c r="S130" s="98">
        <f>-R130*Biomass_DCF!$F$9</f>
        <v>0</v>
      </c>
      <c r="T130" s="124">
        <f t="shared" si="26"/>
        <v>0</v>
      </c>
      <c r="U130" s="124">
        <f t="shared" si="30"/>
        <v>0</v>
      </c>
      <c r="V130" s="68">
        <f t="shared" si="22"/>
        <v>0</v>
      </c>
      <c r="AA130" s="140"/>
      <c r="AB130" s="88"/>
      <c r="AC130" s="140"/>
    </row>
    <row r="131" spans="1:29" ht="14.4" x14ac:dyDescent="0.3">
      <c r="A131" s="35">
        <f t="shared" si="23"/>
        <v>39</v>
      </c>
      <c r="B131" s="44">
        <f>1/(1+Biomass_DCF!$F$8)^A131</f>
        <v>2.4304420967397926E-2</v>
      </c>
      <c r="C131" s="36">
        <f>IF(A131&lt;(Biomass_DCF!$F$6+1),1,0)</f>
        <v>0</v>
      </c>
      <c r="D131" s="36">
        <f>IF(A131&lt;(Biomass_DCF!$F$11+1),1,0)</f>
        <v>0</v>
      </c>
      <c r="E131" s="36">
        <f>IF(A131&lt;(Biomass_DCF!$F$12+1),1,0)</f>
        <v>0</v>
      </c>
      <c r="F131" s="98">
        <f xml:space="preserve"> -Biomass_DCF!$F$32*D131</f>
        <v>0</v>
      </c>
      <c r="G131" s="124">
        <f>-F131*Biomass_DCF!$F$9</f>
        <v>0</v>
      </c>
      <c r="H131" s="124">
        <f>-Biomass_DCF!$F$28*C131</f>
        <v>0</v>
      </c>
      <c r="I131" s="98">
        <f t="shared" si="27"/>
        <v>-5.4433249828577916E-9</v>
      </c>
      <c r="J131" s="98">
        <f t="shared" si="24"/>
        <v>-5.8515743565721262E-9</v>
      </c>
      <c r="K131" s="98">
        <f>-I131*Biomass_DCF!$F$7</f>
        <v>4.0824937371433434E-10</v>
      </c>
      <c r="L131" s="124">
        <f>-(K131*Biomass_DCF!$F$9)</f>
        <v>0</v>
      </c>
      <c r="M131" s="98">
        <f>-Biomass_DCF!$F$15*Biomass_DCF!$F$23*E131*(1+Biomass_DCF!$F$10)^A131</f>
        <v>0</v>
      </c>
      <c r="N131" s="98">
        <f>M131*Biomass_DCF!$F$9</f>
        <v>0</v>
      </c>
      <c r="O131" s="98">
        <f t="shared" si="28"/>
        <v>0</v>
      </c>
      <c r="P131" s="98">
        <f t="shared" si="29"/>
        <v>0</v>
      </c>
      <c r="Q131" s="124">
        <f t="shared" si="25"/>
        <v>0</v>
      </c>
      <c r="R131" s="98">
        <f>-E131*Biomass_DCF!$F$21*(1+Biomass_DCF!$F$17)^(Biomass_DCF!A131)</f>
        <v>0</v>
      </c>
      <c r="S131" s="98">
        <f>-R131*Biomass_DCF!$F$9</f>
        <v>0</v>
      </c>
      <c r="T131" s="124">
        <f t="shared" si="26"/>
        <v>0</v>
      </c>
      <c r="U131" s="124">
        <f t="shared" si="30"/>
        <v>0</v>
      </c>
      <c r="V131" s="68">
        <f t="shared" si="22"/>
        <v>0</v>
      </c>
      <c r="AA131" s="140"/>
      <c r="AB131" s="88"/>
      <c r="AC131" s="140"/>
    </row>
    <row r="132" spans="1:29" ht="14.4" x14ac:dyDescent="0.3">
      <c r="A132" s="35">
        <f t="shared" si="23"/>
        <v>40</v>
      </c>
      <c r="B132" s="44">
        <f>1/(1+Biomass_DCF!$F$8)^A132</f>
        <v>2.2094928152179935E-2</v>
      </c>
      <c r="C132" s="36">
        <f>IF(A132&lt;(Biomass_DCF!$F$6+1),1,0)</f>
        <v>0</v>
      </c>
      <c r="D132" s="36">
        <f>IF(A132&lt;(Biomass_DCF!$F$11+1),1,0)</f>
        <v>0</v>
      </c>
      <c r="E132" s="36">
        <f>IF(A132&lt;(Biomass_DCF!$F$12+1),1,0)</f>
        <v>0</v>
      </c>
      <c r="F132" s="98">
        <f xml:space="preserve"> -Biomass_DCF!$F$32*D132</f>
        <v>0</v>
      </c>
      <c r="G132" s="124">
        <f>-F132*Biomass_DCF!$F$9</f>
        <v>0</v>
      </c>
      <c r="H132" s="124">
        <f>-Biomass_DCF!$F$28*C132</f>
        <v>0</v>
      </c>
      <c r="I132" s="98">
        <f t="shared" si="27"/>
        <v>-5.8515743565721262E-9</v>
      </c>
      <c r="J132" s="98">
        <f t="shared" si="24"/>
        <v>-6.2904424333150358E-9</v>
      </c>
      <c r="K132" s="98">
        <f>-I132*Biomass_DCF!$F$7</f>
        <v>4.3886807674290942E-10</v>
      </c>
      <c r="L132" s="124">
        <f>-(K132*Biomass_DCF!$F$9)</f>
        <v>0</v>
      </c>
      <c r="M132" s="98">
        <f>-Biomass_DCF!$F$15*Biomass_DCF!$F$23*E132*(1+Biomass_DCF!$F$10)^A132</f>
        <v>0</v>
      </c>
      <c r="N132" s="98">
        <f>M132*Biomass_DCF!$F$9</f>
        <v>0</v>
      </c>
      <c r="O132" s="98">
        <f t="shared" si="28"/>
        <v>0</v>
      </c>
      <c r="P132" s="98">
        <f t="shared" si="29"/>
        <v>0</v>
      </c>
      <c r="Q132" s="124">
        <f t="shared" si="25"/>
        <v>0</v>
      </c>
      <c r="R132" s="98">
        <f>-E132*Biomass_DCF!$F$21*(1+Biomass_DCF!$F$17)^(Biomass_DCF!A132)</f>
        <v>0</v>
      </c>
      <c r="S132" s="98">
        <f>-R132*Biomass_DCF!$F$9</f>
        <v>0</v>
      </c>
      <c r="T132" s="124">
        <f t="shared" si="26"/>
        <v>0</v>
      </c>
      <c r="U132" s="124">
        <f t="shared" si="30"/>
        <v>0</v>
      </c>
      <c r="V132" s="68">
        <f t="shared" si="22"/>
        <v>0</v>
      </c>
      <c r="AA132" s="140"/>
      <c r="AB132" s="88"/>
      <c r="AC132" s="140"/>
    </row>
  </sheetData>
  <mergeCells count="5">
    <mergeCell ref="B1:E1"/>
    <mergeCell ref="F1:I1"/>
    <mergeCell ref="B19:E19"/>
    <mergeCell ref="F19:I19"/>
    <mergeCell ref="J19:M19"/>
  </mergeCells>
  <pageMargins left="0.75" right="0.75" top="1" bottom="1" header="0.5" footer="0.5"/>
  <pageSetup paperSize="9"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AC132"/>
  <sheetViews>
    <sheetView topLeftCell="P49" workbookViewId="0">
      <selection activeCell="AB48" sqref="AB48:AC89"/>
    </sheetView>
  </sheetViews>
  <sheetFormatPr defaultColWidth="9.109375" defaultRowHeight="13.2" x14ac:dyDescent="0.25"/>
  <cols>
    <col min="1" max="1" width="41.33203125" style="4" customWidth="1"/>
    <col min="2" max="52" width="12.6640625" style="4" customWidth="1"/>
    <col min="53" max="16384" width="9.109375" style="4"/>
  </cols>
  <sheetData>
    <row r="1" spans="1:9" ht="19.8" x14ac:dyDescent="0.25">
      <c r="A1" s="80" t="s">
        <v>118</v>
      </c>
      <c r="B1" s="330" t="str">
        <f>' Solar-thermal'!A2</f>
        <v>Solar thermal</v>
      </c>
      <c r="C1" s="330"/>
      <c r="D1" s="330"/>
      <c r="E1" s="330"/>
      <c r="F1" s="330" t="str">
        <f>' Solar-thermal'!A13</f>
        <v>Backup</v>
      </c>
      <c r="G1" s="330"/>
      <c r="H1" s="330"/>
      <c r="I1" s="330"/>
    </row>
    <row r="2" spans="1:9" x14ac:dyDescent="0.25">
      <c r="A2" s="5" t="s">
        <v>5</v>
      </c>
      <c r="B2" s="61">
        <f>' Solar-thermal'!C5</f>
        <v>7201.9915048022458</v>
      </c>
      <c r="C2" s="6" t="s">
        <v>6</v>
      </c>
      <c r="D2" s="6"/>
      <c r="E2" s="6"/>
      <c r="F2" s="61">
        <f>' Solar-thermal'!C14</f>
        <v>5000</v>
      </c>
      <c r="G2" s="6" t="s">
        <v>6</v>
      </c>
      <c r="H2" s="6"/>
      <c r="I2" s="6"/>
    </row>
    <row r="3" spans="1:9" x14ac:dyDescent="0.25">
      <c r="A3" s="5" t="s">
        <v>7</v>
      </c>
      <c r="B3" s="62">
        <f>'Solar Calculator'!K24</f>
        <v>0.33021899528714405</v>
      </c>
      <c r="C3" s="6"/>
      <c r="D3" s="6"/>
      <c r="E3" s="6"/>
      <c r="F3" s="62">
        <f>IFERROR(('General Parameters'!C3-D22)/(F2*8760)/0.0036,0)</f>
        <v>0.4756468797564688</v>
      </c>
      <c r="G3" s="6"/>
      <c r="H3" s="6"/>
      <c r="I3" s="6"/>
    </row>
    <row r="4" spans="1:9" x14ac:dyDescent="0.25">
      <c r="A4" s="5" t="s">
        <v>8</v>
      </c>
      <c r="B4" s="63">
        <f>IFERROR(' Solar-thermal'!C6/' Solar-thermal'!C5,0)</f>
        <v>519.42263389825143</v>
      </c>
      <c r="C4" s="6" t="s">
        <v>9</v>
      </c>
      <c r="D4" s="6"/>
      <c r="E4" s="6"/>
      <c r="F4" s="63">
        <f>IFERROR(' Solar-thermal'!C16/' Solar-thermal'!C14,0)</f>
        <v>242.8730294552355</v>
      </c>
      <c r="G4" s="6" t="s">
        <v>9</v>
      </c>
      <c r="H4" s="6"/>
      <c r="I4" s="6"/>
    </row>
    <row r="5" spans="1:9" x14ac:dyDescent="0.25">
      <c r="A5" s="5" t="s">
        <v>10</v>
      </c>
      <c r="B5" s="84">
        <f>'General Parameters'!C7</f>
        <v>0.6</v>
      </c>
      <c r="C5" s="6" t="s">
        <v>1</v>
      </c>
      <c r="D5" s="6"/>
      <c r="E5" s="6"/>
      <c r="F5" s="18">
        <f>'General Parameters'!C7</f>
        <v>0.6</v>
      </c>
      <c r="G5" s="6" t="s">
        <v>1</v>
      </c>
      <c r="H5" s="6"/>
      <c r="I5" s="6"/>
    </row>
    <row r="6" spans="1:9" x14ac:dyDescent="0.25">
      <c r="A6" s="5" t="s">
        <v>11</v>
      </c>
      <c r="B6" s="18">
        <f>'General Parameters'!C8</f>
        <v>10</v>
      </c>
      <c r="C6" s="6" t="s">
        <v>12</v>
      </c>
      <c r="D6" s="6"/>
      <c r="E6" s="6"/>
      <c r="F6" s="18">
        <f>'General Parameters'!C8</f>
        <v>10</v>
      </c>
      <c r="G6" s="6" t="s">
        <v>12</v>
      </c>
      <c r="H6" s="6"/>
      <c r="I6" s="6"/>
    </row>
    <row r="7" spans="1:9" ht="14.4" x14ac:dyDescent="0.3">
      <c r="A7" s="5" t="s">
        <v>13</v>
      </c>
      <c r="B7" s="66">
        <f>'General Parameters'!C9</f>
        <v>7.4999999999999997E-2</v>
      </c>
      <c r="C7" s="6" t="s">
        <v>14</v>
      </c>
      <c r="D7" s="6"/>
      <c r="E7" s="6"/>
      <c r="F7" s="66">
        <f>'General Parameters'!C9</f>
        <v>7.4999999999999997E-2</v>
      </c>
      <c r="G7" s="6" t="s">
        <v>14</v>
      </c>
      <c r="H7" s="6"/>
      <c r="I7" s="6"/>
    </row>
    <row r="8" spans="1:9" ht="14.4" x14ac:dyDescent="0.3">
      <c r="A8" s="5" t="s">
        <v>15</v>
      </c>
      <c r="B8" s="66">
        <f>'General Parameters'!C10</f>
        <v>0.1</v>
      </c>
      <c r="C8" s="6" t="s">
        <v>14</v>
      </c>
      <c r="D8" s="6"/>
      <c r="E8" s="6"/>
      <c r="F8" s="66">
        <f>'General Parameters'!C10</f>
        <v>0.1</v>
      </c>
      <c r="G8" s="6" t="s">
        <v>14</v>
      </c>
      <c r="H8" s="6"/>
      <c r="I8" s="6"/>
    </row>
    <row r="9" spans="1:9" ht="14.4" x14ac:dyDescent="0.3">
      <c r="A9" s="5" t="s">
        <v>16</v>
      </c>
      <c r="B9" s="65">
        <f>'General Parameters'!C11</f>
        <v>0</v>
      </c>
      <c r="C9" s="6" t="s">
        <v>14</v>
      </c>
      <c r="D9" s="6"/>
      <c r="E9" s="6"/>
      <c r="F9" s="65">
        <f>'General Parameters'!C11</f>
        <v>0</v>
      </c>
      <c r="G9" s="6" t="s">
        <v>14</v>
      </c>
      <c r="H9" s="6"/>
      <c r="I9" s="6"/>
    </row>
    <row r="10" spans="1:9" ht="14.4" x14ac:dyDescent="0.3">
      <c r="A10" s="5" t="s">
        <v>23</v>
      </c>
      <c r="B10" s="66">
        <f>'General Parameters'!C12</f>
        <v>2.5000000000000001E-2</v>
      </c>
      <c r="C10" s="6" t="s">
        <v>14</v>
      </c>
      <c r="D10" s="6"/>
      <c r="E10" s="6"/>
      <c r="F10" s="66">
        <f>'General Parameters'!C12</f>
        <v>2.5000000000000001E-2</v>
      </c>
      <c r="G10" s="6" t="s">
        <v>14</v>
      </c>
      <c r="H10" s="6"/>
      <c r="I10" s="6"/>
    </row>
    <row r="11" spans="1:9" x14ac:dyDescent="0.25">
      <c r="A11" s="5" t="s">
        <v>17</v>
      </c>
      <c r="B11" s="18">
        <f>'General Parameters'!C13</f>
        <v>15</v>
      </c>
      <c r="C11" s="6" t="s">
        <v>0</v>
      </c>
      <c r="D11" s="6"/>
      <c r="E11" s="6"/>
      <c r="F11" s="18">
        <f>'General Parameters'!C13</f>
        <v>15</v>
      </c>
      <c r="G11" s="6" t="s">
        <v>0</v>
      </c>
      <c r="H11" s="6"/>
      <c r="I11" s="6"/>
    </row>
    <row r="12" spans="1:9" x14ac:dyDescent="0.25">
      <c r="A12" s="5" t="s">
        <v>18</v>
      </c>
      <c r="B12" s="18">
        <f>'General Parameters'!C14</f>
        <v>20</v>
      </c>
      <c r="C12" s="6" t="s">
        <v>0</v>
      </c>
      <c r="D12" s="6"/>
      <c r="E12" s="6"/>
      <c r="F12" s="18">
        <f>'General Parameters'!C14</f>
        <v>20</v>
      </c>
      <c r="G12" s="6" t="s">
        <v>0</v>
      </c>
      <c r="H12" s="6"/>
      <c r="I12" s="6"/>
    </row>
    <row r="13" spans="1:9" ht="14.4" x14ac:dyDescent="0.3">
      <c r="A13" s="7" t="s">
        <v>19</v>
      </c>
      <c r="B13" s="64">
        <f>'General Parameters'!C15</f>
        <v>0.05</v>
      </c>
      <c r="C13" s="6"/>
      <c r="D13" s="6"/>
      <c r="E13" s="6"/>
      <c r="F13" s="64">
        <f>'General Parameters'!C15</f>
        <v>0.05</v>
      </c>
      <c r="G13" s="6"/>
      <c r="H13" s="6"/>
      <c r="I13" s="6"/>
    </row>
    <row r="14" spans="1:9" x14ac:dyDescent="0.25">
      <c r="A14" s="5" t="s">
        <v>37</v>
      </c>
      <c r="B14" s="18">
        <f>' Solar-thermal'!C7</f>
        <v>0</v>
      </c>
      <c r="C14" s="6" t="s">
        <v>21</v>
      </c>
      <c r="D14" s="8">
        <f>B14*0.0036</f>
        <v>0</v>
      </c>
      <c r="E14" s="6" t="s">
        <v>20</v>
      </c>
      <c r="F14" s="18">
        <f>' Solar-thermal'!C17</f>
        <v>0</v>
      </c>
      <c r="G14" s="6" t="s">
        <v>21</v>
      </c>
      <c r="H14" s="8">
        <f>F14*0.0036</f>
        <v>0</v>
      </c>
      <c r="I14" s="6" t="s">
        <v>20</v>
      </c>
    </row>
    <row r="15" spans="1:9" ht="14.4" x14ac:dyDescent="0.3">
      <c r="A15" s="67" t="s">
        <v>38</v>
      </c>
      <c r="B15" s="66">
        <f>' Solar-thermal'!C8</f>
        <v>0.02</v>
      </c>
      <c r="C15" s="6" t="s">
        <v>14</v>
      </c>
      <c r="D15" s="6"/>
      <c r="E15" s="6"/>
      <c r="F15" s="66">
        <f>' Solar-thermal'!C18</f>
        <v>0.02</v>
      </c>
      <c r="G15" s="6" t="s">
        <v>14</v>
      </c>
      <c r="H15" s="6"/>
      <c r="I15" s="6"/>
    </row>
    <row r="16" spans="1:9" x14ac:dyDescent="0.25">
      <c r="A16" s="5" t="s">
        <v>24</v>
      </c>
      <c r="B16" s="18">
        <v>0</v>
      </c>
      <c r="C16" s="6" t="s">
        <v>21</v>
      </c>
      <c r="D16" s="6">
        <f>B16*0.0036</f>
        <v>0</v>
      </c>
      <c r="E16" s="6" t="s">
        <v>20</v>
      </c>
      <c r="F16" s="18">
        <f>' Solar-thermal'!C20</f>
        <v>10</v>
      </c>
      <c r="G16" s="6" t="s">
        <v>21</v>
      </c>
      <c r="H16" s="6">
        <f>F16*0.0036</f>
        <v>3.5999999999999997E-2</v>
      </c>
      <c r="I16" s="6" t="s">
        <v>20</v>
      </c>
    </row>
    <row r="17" spans="1:13" ht="14.4" x14ac:dyDescent="0.3">
      <c r="A17" s="5" t="s">
        <v>25</v>
      </c>
      <c r="B17" s="66">
        <v>0</v>
      </c>
      <c r="C17" s="6"/>
      <c r="D17" s="6"/>
      <c r="E17" s="6"/>
      <c r="F17" s="66">
        <f>' Solar-thermal'!C21</f>
        <v>2.5000000000000001E-2</v>
      </c>
      <c r="G17" s="6"/>
      <c r="H17" s="6"/>
      <c r="I17" s="6"/>
    </row>
    <row r="18" spans="1:13" ht="14.4" x14ac:dyDescent="0.3">
      <c r="A18" s="5" t="s">
        <v>39</v>
      </c>
      <c r="B18" s="95">
        <v>1</v>
      </c>
      <c r="C18" s="12"/>
      <c r="D18" s="12"/>
      <c r="E18" s="12"/>
      <c r="F18" s="95">
        <f>' Solar-thermal'!C22</f>
        <v>0.8</v>
      </c>
      <c r="G18" s="12"/>
      <c r="H18" s="12"/>
      <c r="I18" s="12"/>
    </row>
    <row r="19" spans="1:13" ht="19.8" x14ac:dyDescent="0.25">
      <c r="A19" s="80" t="s">
        <v>115</v>
      </c>
      <c r="B19" s="330" t="str">
        <f>B1</f>
        <v>Solar thermal</v>
      </c>
      <c r="C19" s="330"/>
      <c r="D19" s="330"/>
      <c r="E19" s="330"/>
      <c r="F19" s="330" t="str">
        <f>F1</f>
        <v>Backup</v>
      </c>
      <c r="G19" s="330"/>
      <c r="H19" s="330"/>
      <c r="I19" s="330"/>
      <c r="J19" s="330" t="s">
        <v>116</v>
      </c>
      <c r="K19" s="330"/>
      <c r="L19" s="330"/>
      <c r="M19" s="330"/>
    </row>
    <row r="20" spans="1:13" x14ac:dyDescent="0.25">
      <c r="A20" s="5" t="s">
        <v>28</v>
      </c>
      <c r="B20" s="86">
        <v>0</v>
      </c>
      <c r="C20" s="6" t="s">
        <v>29</v>
      </c>
      <c r="D20" s="6">
        <v>0</v>
      </c>
      <c r="E20" s="6"/>
      <c r="F20" s="86">
        <f>F22/F18</f>
        <v>26041666.666666668</v>
      </c>
      <c r="G20" s="6" t="s">
        <v>29</v>
      </c>
      <c r="H20" s="86">
        <f>F20*0.0036</f>
        <v>93750</v>
      </c>
      <c r="I20" s="6"/>
      <c r="J20" s="86">
        <f t="shared" ref="J20:J26" si="0">B20+F20</f>
        <v>26041666.666666668</v>
      </c>
      <c r="K20" s="6" t="s">
        <v>29</v>
      </c>
      <c r="L20" s="86">
        <f>J20*0.0036</f>
        <v>93750</v>
      </c>
      <c r="M20" s="6"/>
    </row>
    <row r="21" spans="1:13" x14ac:dyDescent="0.25">
      <c r="A21" s="5" t="s">
        <v>30</v>
      </c>
      <c r="B21" s="85">
        <f>B20*B16*0.0036</f>
        <v>0</v>
      </c>
      <c r="C21" s="6"/>
      <c r="D21" s="6"/>
      <c r="E21" s="6"/>
      <c r="F21" s="85">
        <f>F20*F16*0.0036</f>
        <v>937500</v>
      </c>
      <c r="G21" s="6"/>
      <c r="H21" s="6"/>
      <c r="I21" s="6"/>
      <c r="J21" s="85">
        <f t="shared" si="0"/>
        <v>937500</v>
      </c>
      <c r="K21" s="6"/>
      <c r="L21" s="6"/>
      <c r="M21" s="6"/>
    </row>
    <row r="22" spans="1:13" x14ac:dyDescent="0.25">
      <c r="A22" s="5" t="s">
        <v>31</v>
      </c>
      <c r="B22" s="86">
        <f>B2*B3*365*24</f>
        <v>20833333.333333336</v>
      </c>
      <c r="C22" s="6" t="s">
        <v>29</v>
      </c>
      <c r="D22" s="86">
        <f>B22*0.0036</f>
        <v>75000</v>
      </c>
      <c r="E22" s="6" t="s">
        <v>32</v>
      </c>
      <c r="F22" s="86">
        <f>F2*F3*365*24</f>
        <v>20833333.333333336</v>
      </c>
      <c r="G22" s="6" t="s">
        <v>29</v>
      </c>
      <c r="H22" s="86">
        <f>F22*0.0036</f>
        <v>75000</v>
      </c>
      <c r="I22" s="6" t="s">
        <v>32</v>
      </c>
      <c r="J22" s="86">
        <f t="shared" si="0"/>
        <v>41666666.666666672</v>
      </c>
      <c r="K22" s="6" t="s">
        <v>29</v>
      </c>
      <c r="L22" s="86">
        <f>J22*0.0036</f>
        <v>150000</v>
      </c>
      <c r="M22" s="6" t="s">
        <v>32</v>
      </c>
    </row>
    <row r="23" spans="1:13" x14ac:dyDescent="0.25">
      <c r="A23" s="5" t="s">
        <v>33</v>
      </c>
      <c r="B23" s="85">
        <f>B4*B2</f>
        <v>3740877.3967372137</v>
      </c>
      <c r="C23" s="6" t="s">
        <v>34</v>
      </c>
      <c r="D23" s="6"/>
      <c r="E23" s="6"/>
      <c r="F23" s="85">
        <f>F4*F2</f>
        <v>1214365.1472761775</v>
      </c>
      <c r="G23" s="6" t="s">
        <v>34</v>
      </c>
      <c r="H23" s="6"/>
      <c r="I23" s="6"/>
      <c r="J23" s="85">
        <f t="shared" si="0"/>
        <v>4955242.5440133912</v>
      </c>
      <c r="K23" s="6" t="s">
        <v>34</v>
      </c>
      <c r="L23" s="6"/>
      <c r="M23" s="6"/>
    </row>
    <row r="24" spans="1:13" x14ac:dyDescent="0.25">
      <c r="A24" s="5" t="s">
        <v>40</v>
      </c>
      <c r="B24" s="85">
        <f>B13*B23</f>
        <v>187043.86983686069</v>
      </c>
      <c r="C24" s="6" t="s">
        <v>34</v>
      </c>
      <c r="D24" s="6"/>
      <c r="E24" s="6"/>
      <c r="F24" s="85">
        <f>F13*F23</f>
        <v>60718.25736380888</v>
      </c>
      <c r="G24" s="6" t="s">
        <v>34</v>
      </c>
      <c r="H24" s="6"/>
      <c r="I24" s="6"/>
      <c r="J24" s="85">
        <f t="shared" si="0"/>
        <v>247762.12720066955</v>
      </c>
      <c r="K24" s="6" t="s">
        <v>34</v>
      </c>
      <c r="L24" s="6"/>
      <c r="M24" s="6"/>
    </row>
    <row r="25" spans="1:13" x14ac:dyDescent="0.25">
      <c r="A25" s="5" t="s">
        <v>41</v>
      </c>
      <c r="B25" s="85">
        <f>B23*B5</f>
        <v>2244526.4380423282</v>
      </c>
      <c r="C25" s="6" t="s">
        <v>34</v>
      </c>
      <c r="D25" s="6"/>
      <c r="E25" s="6"/>
      <c r="F25" s="85">
        <f>F23*F5</f>
        <v>728619.0883657065</v>
      </c>
      <c r="G25" s="6" t="s">
        <v>34</v>
      </c>
      <c r="H25" s="6"/>
      <c r="I25" s="6"/>
      <c r="J25" s="85">
        <f t="shared" si="0"/>
        <v>2973145.5264080348</v>
      </c>
      <c r="K25" s="6" t="s">
        <v>34</v>
      </c>
      <c r="L25" s="6"/>
      <c r="M25" s="6"/>
    </row>
    <row r="26" spans="1:13" x14ac:dyDescent="0.25">
      <c r="A26" s="5" t="s">
        <v>42</v>
      </c>
      <c r="B26" s="85">
        <f>B23-B25</f>
        <v>1496350.9586948855</v>
      </c>
      <c r="C26" s="6" t="s">
        <v>34</v>
      </c>
      <c r="D26" s="6"/>
      <c r="E26" s="6"/>
      <c r="F26" s="85">
        <f>F23-F25</f>
        <v>485746.05891047104</v>
      </c>
      <c r="G26" s="6" t="s">
        <v>34</v>
      </c>
      <c r="H26" s="6"/>
      <c r="I26" s="6"/>
      <c r="J26" s="85">
        <f t="shared" si="0"/>
        <v>1982097.0176053564</v>
      </c>
      <c r="K26" s="6" t="s">
        <v>34</v>
      </c>
      <c r="L26" s="6"/>
      <c r="M26" s="6"/>
    </row>
    <row r="27" spans="1:13" x14ac:dyDescent="0.25">
      <c r="A27" s="5" t="s">
        <v>43</v>
      </c>
      <c r="B27" s="20">
        <f>(B7*(1+B7)^B6)/((1+B7)^B6-1)</f>
        <v>0.14568592742612235</v>
      </c>
      <c r="C27" s="6" t="s">
        <v>14</v>
      </c>
      <c r="D27" s="6"/>
      <c r="E27" s="6"/>
      <c r="F27" s="20">
        <f>(F7*(1+F7)^F6)/((1+F7)^F6-1)</f>
        <v>0.14568592742612235</v>
      </c>
      <c r="G27" s="6" t="s">
        <v>14</v>
      </c>
      <c r="H27" s="6"/>
      <c r="I27" s="6"/>
      <c r="J27" s="90">
        <f>AVERAGE(B27,F27)</f>
        <v>0.14568592742612235</v>
      </c>
      <c r="K27" s="6" t="s">
        <v>14</v>
      </c>
      <c r="L27" s="6"/>
      <c r="M27" s="6"/>
    </row>
    <row r="28" spans="1:13" x14ac:dyDescent="0.25">
      <c r="A28" s="5" t="s">
        <v>44</v>
      </c>
      <c r="B28" s="85">
        <f>B27*B25</f>
        <v>326995.91575864755</v>
      </c>
      <c r="C28" s="6" t="s">
        <v>45</v>
      </c>
      <c r="D28" s="6"/>
      <c r="E28" s="6"/>
      <c r="F28" s="85">
        <f>F27*F25</f>
        <v>106149.54762893375</v>
      </c>
      <c r="G28" s="6" t="s">
        <v>45</v>
      </c>
      <c r="H28" s="6"/>
      <c r="I28" s="6"/>
      <c r="J28" s="85">
        <f>B28+F28</f>
        <v>433145.46338758129</v>
      </c>
      <c r="K28" s="6" t="s">
        <v>45</v>
      </c>
      <c r="L28" s="6"/>
      <c r="M28" s="6"/>
    </row>
    <row r="29" spans="1:13" x14ac:dyDescent="0.25">
      <c r="A29" s="5" t="s">
        <v>46</v>
      </c>
      <c r="B29" s="20">
        <f>(B8*(1+B8)^B12)/((1+B8)^B12-1)</f>
        <v>0.11745962477254576</v>
      </c>
      <c r="C29" s="6" t="s">
        <v>14</v>
      </c>
      <c r="D29" s="6"/>
      <c r="E29" s="6"/>
      <c r="F29" s="20">
        <f>(F8*(1+F8)^F12)/((1+F8)^F12-1)</f>
        <v>0.11745962477254576</v>
      </c>
      <c r="G29" s="6" t="s">
        <v>14</v>
      </c>
      <c r="H29" s="6"/>
      <c r="I29" s="6"/>
      <c r="J29" s="90">
        <f>AVERAGE(B29,F29)</f>
        <v>0.11745962477254576</v>
      </c>
      <c r="K29" s="6" t="s">
        <v>14</v>
      </c>
      <c r="L29" s="6"/>
      <c r="M29" s="6"/>
    </row>
    <row r="30" spans="1:13" x14ac:dyDescent="0.25">
      <c r="A30" s="5" t="s">
        <v>47</v>
      </c>
      <c r="B30" s="20">
        <f>(1+B8)/(1+B10)-1</f>
        <v>7.317073170731736E-2</v>
      </c>
      <c r="C30" s="6"/>
      <c r="D30" s="6"/>
      <c r="E30" s="6"/>
      <c r="F30" s="20">
        <f>(1+F8)/(1+F10)-1</f>
        <v>7.317073170731736E-2</v>
      </c>
      <c r="G30" s="6"/>
      <c r="H30" s="6"/>
      <c r="I30" s="6"/>
      <c r="J30" s="90">
        <f>AVERAGE(B30,F30)</f>
        <v>7.317073170731736E-2</v>
      </c>
      <c r="K30" s="6"/>
      <c r="L30" s="6"/>
      <c r="M30" s="6"/>
    </row>
    <row r="31" spans="1:13" x14ac:dyDescent="0.25">
      <c r="A31" s="5" t="s">
        <v>48</v>
      </c>
      <c r="B31" s="20">
        <f>(B30*(1+B30)^B12)/((1+B30)^B12-1)</f>
        <v>9.6731649089452268E-2</v>
      </c>
      <c r="C31" s="6"/>
      <c r="D31" s="6"/>
      <c r="E31" s="6"/>
      <c r="F31" s="20">
        <f>(F30*(1+F30)^F12)/((1+F30)^F12-1)</f>
        <v>9.6731649089452268E-2</v>
      </c>
      <c r="G31" s="6"/>
      <c r="H31" s="6"/>
      <c r="I31" s="6"/>
      <c r="J31" s="90">
        <f>AVERAGE(B31,F31)</f>
        <v>9.6731649089452268E-2</v>
      </c>
      <c r="K31" s="6"/>
      <c r="L31" s="6"/>
      <c r="M31" s="6"/>
    </row>
    <row r="32" spans="1:13" x14ac:dyDescent="0.25">
      <c r="A32" s="7" t="s">
        <v>49</v>
      </c>
      <c r="B32" s="19">
        <f>B23/B11</f>
        <v>249391.82644914757</v>
      </c>
      <c r="C32" s="6" t="s">
        <v>34</v>
      </c>
      <c r="D32" s="6"/>
      <c r="E32" s="6"/>
      <c r="F32" s="85">
        <f>F23/F11</f>
        <v>80957.676485078497</v>
      </c>
      <c r="G32" s="6" t="s">
        <v>34</v>
      </c>
      <c r="H32" s="6"/>
      <c r="I32" s="6"/>
      <c r="J32" s="85">
        <f>B32+F32</f>
        <v>330349.50293422607</v>
      </c>
      <c r="K32" s="6" t="s">
        <v>34</v>
      </c>
      <c r="L32" s="6"/>
      <c r="M32" s="6"/>
    </row>
    <row r="33" spans="1:29" x14ac:dyDescent="0.25">
      <c r="A33" s="5" t="s">
        <v>50</v>
      </c>
      <c r="B33" s="85">
        <f>-SUM(V50:V89)</f>
        <v>2754900.1611018125</v>
      </c>
      <c r="C33" s="6" t="s">
        <v>34</v>
      </c>
      <c r="D33" s="6"/>
      <c r="E33" s="6"/>
      <c r="F33" s="85">
        <f>-SUM(V93:V132)</f>
        <v>10586057.565386886</v>
      </c>
      <c r="G33" s="6" t="s">
        <v>34</v>
      </c>
      <c r="H33" s="6"/>
      <c r="I33" s="6"/>
      <c r="J33" s="85">
        <f>B33+F33</f>
        <v>13340957.726488698</v>
      </c>
      <c r="K33" s="6" t="s">
        <v>34</v>
      </c>
      <c r="L33" s="87"/>
      <c r="M33" s="6"/>
    </row>
    <row r="34" spans="1:29" x14ac:dyDescent="0.25">
      <c r="A34" s="5" t="s">
        <v>51</v>
      </c>
      <c r="B34" s="85">
        <f>B24/(1+B8)^B12*(1-B9)</f>
        <v>27802.87941222663</v>
      </c>
      <c r="C34" s="6" t="s">
        <v>34</v>
      </c>
      <c r="D34" s="6"/>
      <c r="E34" s="6"/>
      <c r="F34" s="85">
        <f>F24/(1+F8)^F12*(1-F9)</f>
        <v>9025.3820618602185</v>
      </c>
      <c r="G34" s="6" t="s">
        <v>34</v>
      </c>
      <c r="H34" s="6"/>
      <c r="I34" s="6"/>
      <c r="J34" s="85">
        <f>B34+F34</f>
        <v>36828.261474086845</v>
      </c>
      <c r="K34" s="6" t="s">
        <v>34</v>
      </c>
      <c r="L34" s="6"/>
      <c r="M34" s="6"/>
    </row>
    <row r="35" spans="1:29" x14ac:dyDescent="0.25">
      <c r="A35" s="5" t="s">
        <v>52</v>
      </c>
      <c r="B35" s="85">
        <f>B23-B25+B33</f>
        <v>4251251.119796698</v>
      </c>
      <c r="C35" s="6" t="s">
        <v>34</v>
      </c>
      <c r="D35" s="6"/>
      <c r="E35" s="6"/>
      <c r="F35" s="85">
        <f>F23-F25+F33</f>
        <v>11071803.624297356</v>
      </c>
      <c r="G35" s="6" t="s">
        <v>34</v>
      </c>
      <c r="H35" s="6"/>
      <c r="I35" s="6"/>
      <c r="J35" s="85">
        <f>B35+F35</f>
        <v>15323054.744094055</v>
      </c>
      <c r="K35" s="6" t="s">
        <v>34</v>
      </c>
      <c r="L35" s="6"/>
      <c r="M35" s="6"/>
    </row>
    <row r="36" spans="1:29" x14ac:dyDescent="0.25">
      <c r="A36" s="10" t="s">
        <v>108</v>
      </c>
      <c r="B36" s="91">
        <f>B29*B35/B22</f>
        <v>2.3968817344568884E-2</v>
      </c>
      <c r="C36" s="12" t="s">
        <v>35</v>
      </c>
      <c r="D36" s="11">
        <f>B36/0.0036</f>
        <v>6.6580048179358009</v>
      </c>
      <c r="E36" s="6" t="s">
        <v>21</v>
      </c>
      <c r="F36" s="109">
        <f>IF(F29*F35/F22&gt;10000000,"n/a",F29*F35/F22)</f>
        <v>6.242351516473342E-2</v>
      </c>
      <c r="G36" s="12" t="s">
        <v>35</v>
      </c>
      <c r="H36" s="11">
        <f>IF(F36="n/a","n/a",F36/0.0036)</f>
        <v>17.339865323537062</v>
      </c>
      <c r="I36" s="6" t="s">
        <v>21</v>
      </c>
      <c r="J36" s="91">
        <f>J29*J35/J22</f>
        <v>4.3196166254651155E-2</v>
      </c>
      <c r="K36" s="12" t="s">
        <v>35</v>
      </c>
      <c r="L36" s="11">
        <f>J36/0.0036</f>
        <v>11.998935070736433</v>
      </c>
      <c r="M36" s="6" t="s">
        <v>21</v>
      </c>
    </row>
    <row r="37" spans="1:29" x14ac:dyDescent="0.25">
      <c r="A37" s="10" t="s">
        <v>109</v>
      </c>
      <c r="B37" s="22">
        <f>B36/(1-B9)</f>
        <v>2.3968817344568884E-2</v>
      </c>
      <c r="C37" s="12" t="s">
        <v>35</v>
      </c>
      <c r="D37" s="11">
        <f>B37/0.0036</f>
        <v>6.6580048179358009</v>
      </c>
      <c r="E37" s="6" t="s">
        <v>21</v>
      </c>
      <c r="F37" s="22">
        <f>IF(F36="n/a","n/a",F36/(1-F9))</f>
        <v>6.242351516473342E-2</v>
      </c>
      <c r="G37" s="12" t="s">
        <v>35</v>
      </c>
      <c r="H37" s="11">
        <f t="shared" ref="H37:H39" si="1">IF(F37="n/a","n/a",F37/0.0036)</f>
        <v>17.339865323537062</v>
      </c>
      <c r="I37" s="6" t="s">
        <v>21</v>
      </c>
      <c r="J37" s="22">
        <f>J36/(1-B9)</f>
        <v>4.3196166254651155E-2</v>
      </c>
      <c r="K37" s="12" t="s">
        <v>35</v>
      </c>
      <c r="L37" s="11">
        <f>J37/0.0036</f>
        <v>11.998935070736433</v>
      </c>
      <c r="M37" s="6" t="s">
        <v>21</v>
      </c>
      <c r="N37" s="89"/>
    </row>
    <row r="38" spans="1:29" x14ac:dyDescent="0.25">
      <c r="A38" s="14" t="s">
        <v>110</v>
      </c>
      <c r="B38" s="92">
        <f>B31*B35/B22</f>
        <v>1.9739065512543126E-2</v>
      </c>
      <c r="C38" s="16" t="s">
        <v>35</v>
      </c>
      <c r="D38" s="15">
        <f>B38/0.0036</f>
        <v>5.4830737534842022</v>
      </c>
      <c r="E38" s="93" t="s">
        <v>21</v>
      </c>
      <c r="F38" s="92">
        <f>IF(F31*F35/F22&gt;10000000,"n/a",F31*F35/F22)</f>
        <v>5.1407703502697161E-2</v>
      </c>
      <c r="G38" s="16" t="s">
        <v>35</v>
      </c>
      <c r="H38" s="114">
        <f t="shared" si="1"/>
        <v>14.2799176396381</v>
      </c>
      <c r="I38" s="93" t="s">
        <v>21</v>
      </c>
      <c r="J38" s="92">
        <f>J31*J35/J22</f>
        <v>3.5573384507620147E-2</v>
      </c>
      <c r="K38" s="16" t="s">
        <v>35</v>
      </c>
      <c r="L38" s="15">
        <f>J38/0.0036</f>
        <v>9.8814956965611529</v>
      </c>
      <c r="M38" s="93" t="s">
        <v>21</v>
      </c>
    </row>
    <row r="39" spans="1:29" x14ac:dyDescent="0.25">
      <c r="A39" s="10" t="s">
        <v>111</v>
      </c>
      <c r="B39" s="22">
        <f>B38/(1-B9)</f>
        <v>1.9739065512543126E-2</v>
      </c>
      <c r="C39" s="12" t="s">
        <v>35</v>
      </c>
      <c r="D39" s="11">
        <f>B39/0.0036</f>
        <v>5.4830737534842022</v>
      </c>
      <c r="E39" s="6" t="s">
        <v>21</v>
      </c>
      <c r="F39" s="91">
        <f>IF(F38="n/a","n/a",F38/(1-F9))</f>
        <v>5.1407703502697161E-2</v>
      </c>
      <c r="G39" s="12" t="s">
        <v>35</v>
      </c>
      <c r="H39" s="11">
        <f t="shared" si="1"/>
        <v>14.2799176396381</v>
      </c>
      <c r="I39" s="6" t="s">
        <v>21</v>
      </c>
      <c r="J39" s="91">
        <f>J38/(1-B9)</f>
        <v>3.5573384507620147E-2</v>
      </c>
      <c r="K39" s="12" t="s">
        <v>35</v>
      </c>
      <c r="L39" s="11">
        <f>J39/0.0036</f>
        <v>9.8814956965611529</v>
      </c>
      <c r="M39" s="6" t="s">
        <v>21</v>
      </c>
    </row>
    <row r="40" spans="1:29" x14ac:dyDescent="0.25">
      <c r="A40" s="24" t="s">
        <v>53</v>
      </c>
    </row>
    <row r="41" spans="1:29" ht="14.4" x14ac:dyDescent="0.3">
      <c r="A41" s="25" t="s">
        <v>54</v>
      </c>
      <c r="B41" s="9">
        <v>7.85E-2</v>
      </c>
      <c r="C41" s="26" t="s">
        <v>14</v>
      </c>
      <c r="D41" s="26"/>
      <c r="E41" s="26"/>
    </row>
    <row r="42" spans="1:29" x14ac:dyDescent="0.25">
      <c r="A42" s="25" t="s">
        <v>55</v>
      </c>
      <c r="B42" s="27">
        <f>(B41*(1+B41)^B12)/((1+B41)^B12-1)</f>
        <v>0.10071794368308355</v>
      </c>
      <c r="C42" s="26" t="s">
        <v>14</v>
      </c>
      <c r="D42" s="26"/>
      <c r="E42" s="26"/>
    </row>
    <row r="43" spans="1:29" x14ac:dyDescent="0.25">
      <c r="A43" s="25" t="s">
        <v>56</v>
      </c>
      <c r="B43" s="27">
        <f>B42+B15</f>
        <v>0.12071794368308356</v>
      </c>
      <c r="C43" s="26" t="s">
        <v>14</v>
      </c>
      <c r="D43" s="26"/>
      <c r="E43" s="26"/>
    </row>
    <row r="44" spans="1:29" x14ac:dyDescent="0.25">
      <c r="A44" s="28" t="s">
        <v>57</v>
      </c>
      <c r="B44" s="22">
        <f>(B23-B24/(1+B8)^B12)*B43/(B2*B3*365*24)+B14</f>
        <v>2.1515266582729457E-2</v>
      </c>
      <c r="C44" s="29" t="s">
        <v>35</v>
      </c>
      <c r="D44" s="29"/>
      <c r="E44" s="29"/>
    </row>
    <row r="45" spans="1:29" x14ac:dyDescent="0.25">
      <c r="A45" s="30"/>
      <c r="B45" s="22">
        <f>(B23-B24/(1+B41)^B12)*B43/(B2*B3*365*24)+B14</f>
        <v>2.1437283615842576E-2</v>
      </c>
      <c r="C45" s="29"/>
      <c r="D45" s="31"/>
      <c r="E45" s="31"/>
    </row>
    <row r="46" spans="1:29" x14ac:dyDescent="0.25">
      <c r="B46" s="22">
        <f>(B23-B24/(1+B8)^B12)*B43/(B2*B3*365*24)+B14</f>
        <v>2.1515266582729457E-2</v>
      </c>
      <c r="C46" s="117" t="s">
        <v>35</v>
      </c>
      <c r="U46" s="47"/>
      <c r="V46" s="140"/>
      <c r="Z46" s="139"/>
      <c r="AA46" s="88"/>
      <c r="AB46" s="88"/>
      <c r="AC46" s="141"/>
    </row>
    <row r="47" spans="1:29" ht="19.8" x14ac:dyDescent="0.25">
      <c r="A47" s="116" t="s">
        <v>103</v>
      </c>
      <c r="B47" s="121"/>
      <c r="C47" s="121"/>
      <c r="D47" s="121"/>
      <c r="E47" s="121"/>
      <c r="F47" s="121"/>
      <c r="G47" s="122"/>
      <c r="H47" s="121"/>
      <c r="I47" s="121"/>
      <c r="J47" s="121"/>
      <c r="K47" s="121"/>
      <c r="L47" s="122"/>
      <c r="M47" s="121"/>
      <c r="N47" s="121"/>
      <c r="O47" s="121"/>
      <c r="P47" s="121"/>
      <c r="Q47" s="122"/>
      <c r="R47" s="121"/>
      <c r="S47" s="121"/>
      <c r="T47" s="121"/>
      <c r="U47" s="121"/>
      <c r="V47" s="121"/>
      <c r="W47" s="122"/>
      <c r="X47" s="122"/>
      <c r="Y47" s="122"/>
      <c r="Z47" s="122"/>
      <c r="AA47" s="122"/>
      <c r="AB47" s="88"/>
      <c r="AC47" s="97"/>
    </row>
    <row r="48" spans="1:29" s="97" customFormat="1" ht="60" customHeight="1" x14ac:dyDescent="0.3">
      <c r="A48" s="96" t="s">
        <v>58</v>
      </c>
      <c r="B48" s="118" t="s">
        <v>59</v>
      </c>
      <c r="C48" s="118" t="s">
        <v>60</v>
      </c>
      <c r="D48" s="119" t="s">
        <v>61</v>
      </c>
      <c r="E48" s="119" t="s">
        <v>62</v>
      </c>
      <c r="F48" s="118" t="s">
        <v>63</v>
      </c>
      <c r="G48" s="123" t="s">
        <v>64</v>
      </c>
      <c r="H48" s="123" t="s">
        <v>65</v>
      </c>
      <c r="I48" s="118" t="s">
        <v>66</v>
      </c>
      <c r="J48" s="118" t="s">
        <v>67</v>
      </c>
      <c r="K48" s="118" t="s">
        <v>68</v>
      </c>
      <c r="L48" s="123" t="s">
        <v>82</v>
      </c>
      <c r="M48" s="118" t="s">
        <v>69</v>
      </c>
      <c r="N48" s="118" t="s">
        <v>70</v>
      </c>
      <c r="O48" s="118" t="s">
        <v>71</v>
      </c>
      <c r="P48" s="119" t="s">
        <v>72</v>
      </c>
      <c r="Q48" s="123" t="s">
        <v>83</v>
      </c>
      <c r="R48" s="118" t="s">
        <v>73</v>
      </c>
      <c r="S48" s="118" t="s">
        <v>74</v>
      </c>
      <c r="T48" s="126" t="s">
        <v>75</v>
      </c>
      <c r="U48" s="123" t="s">
        <v>81</v>
      </c>
      <c r="V48" s="120" t="s">
        <v>152</v>
      </c>
      <c r="W48" s="123" t="s">
        <v>125</v>
      </c>
      <c r="X48" s="123" t="s">
        <v>127</v>
      </c>
      <c r="Y48" s="123" t="s">
        <v>78</v>
      </c>
      <c r="Z48" s="123" t="s">
        <v>126</v>
      </c>
      <c r="AA48" s="120" t="s">
        <v>228</v>
      </c>
      <c r="AB48" s="123" t="s">
        <v>270</v>
      </c>
      <c r="AC48" s="123" t="s">
        <v>269</v>
      </c>
    </row>
    <row r="49" spans="1:29" ht="14.4" x14ac:dyDescent="0.3">
      <c r="A49" s="35">
        <v>0</v>
      </c>
      <c r="B49" s="44">
        <f>1/(1+Solar_DCF!$B$8)^A49</f>
        <v>1</v>
      </c>
      <c r="C49" s="35"/>
      <c r="D49" s="36"/>
      <c r="E49" s="36"/>
      <c r="F49" s="98"/>
      <c r="G49" s="124"/>
      <c r="H49" s="124"/>
      <c r="I49" s="98">
        <v>0</v>
      </c>
      <c r="J49" s="98"/>
      <c r="K49" s="98"/>
      <c r="L49" s="124"/>
      <c r="M49" s="98"/>
      <c r="N49" s="98"/>
      <c r="O49" s="98"/>
      <c r="P49" s="98"/>
      <c r="Q49" s="124"/>
      <c r="R49" s="98"/>
      <c r="S49" s="98"/>
      <c r="T49" s="124"/>
      <c r="U49" s="124">
        <f>-$B$26</f>
        <v>-1496350.9586948855</v>
      </c>
      <c r="V49" s="68">
        <f t="shared" ref="V49:V89" si="2">U49*B49</f>
        <v>-1496350.9586948855</v>
      </c>
      <c r="W49" s="124">
        <f>U92</f>
        <v>-485746.05891047104</v>
      </c>
      <c r="X49" s="124">
        <f>U49+W49</f>
        <v>-1982097.0176053564</v>
      </c>
      <c r="Y49" s="124">
        <f>Baseline_DCF!U49</f>
        <v>0</v>
      </c>
      <c r="Z49" s="124">
        <f>X49-Y49</f>
        <v>-1982097.0176053564</v>
      </c>
      <c r="AA49" s="68">
        <f>Z49*B49</f>
        <v>-1982097.0176053564</v>
      </c>
      <c r="AB49" s="124">
        <f>-U49</f>
        <v>1496350.9586948855</v>
      </c>
      <c r="AC49" s="124">
        <f>-W49</f>
        <v>485746.05891047104</v>
      </c>
    </row>
    <row r="50" spans="1:29" ht="14.4" x14ac:dyDescent="0.3">
      <c r="A50" s="35">
        <f>A49+1</f>
        <v>1</v>
      </c>
      <c r="B50" s="44">
        <f>1/(1+Solar_DCF!$B$8)^A50</f>
        <v>0.90909090909090906</v>
      </c>
      <c r="C50" s="36">
        <f>IF(A50&lt;(Solar_DCF!$B$6+1),1,0)</f>
        <v>1</v>
      </c>
      <c r="D50" s="36">
        <f>IF(A50&lt;(Solar_DCF!$B$11+1),1,0)</f>
        <v>1</v>
      </c>
      <c r="E50" s="36">
        <f>IF(A50&lt;(Solar_DCF!$B$12+1),1,0)</f>
        <v>1</v>
      </c>
      <c r="F50" s="98">
        <f xml:space="preserve"> -Solar_DCF!$B$32*D50</f>
        <v>-249391.82644914757</v>
      </c>
      <c r="G50" s="124">
        <f>-F50*Solar_DCF!$B$9</f>
        <v>0</v>
      </c>
      <c r="H50" s="124">
        <f>-Solar_DCF!$B$28*C50</f>
        <v>-326995.91575864755</v>
      </c>
      <c r="I50" s="98">
        <f>Solar_DCF!B25</f>
        <v>2244526.4380423282</v>
      </c>
      <c r="J50" s="98">
        <f t="shared" ref="J50:J89" si="3">I50+H50-K50</f>
        <v>2085870.0051368554</v>
      </c>
      <c r="K50" s="98">
        <f>-I50*Solar_DCF!$B$7</f>
        <v>-168339.48285317462</v>
      </c>
      <c r="L50" s="124">
        <f>-(K50*Solar_DCF!$B$9)</f>
        <v>0</v>
      </c>
      <c r="M50" s="98">
        <f>-$B$15*$B$23*E50*(1+$B$10)^A50</f>
        <v>-76687.986633112872</v>
      </c>
      <c r="N50" s="98">
        <f>M50*$B$9</f>
        <v>0</v>
      </c>
      <c r="O50" s="98">
        <f>-E50*$D$22*$B$14*(1+$B$10)^A50</f>
        <v>0</v>
      </c>
      <c r="P50" s="98">
        <f>O50*$B$9</f>
        <v>0</v>
      </c>
      <c r="Q50" s="124">
        <f>(M50+O50-N50-P50)</f>
        <v>-76687.986633112872</v>
      </c>
      <c r="R50" s="98">
        <f>-E50*$B$21*(1+$B$17)^A50</f>
        <v>0</v>
      </c>
      <c r="S50" s="98">
        <f>-R50*$B$9</f>
        <v>0</v>
      </c>
      <c r="T50" s="124">
        <f>R50+S50</f>
        <v>0</v>
      </c>
      <c r="U50" s="124">
        <f>G50+H50+L50+Q50+T50+IF(AND(E50=1,E51=0),$B$24,0)</f>
        <v>-403683.90239176044</v>
      </c>
      <c r="V50" s="68">
        <f t="shared" si="2"/>
        <v>-366985.36581069132</v>
      </c>
      <c r="W50" s="124">
        <f t="shared" ref="W50:W89" si="4">U93</f>
        <v>-1091981.5331480952</v>
      </c>
      <c r="X50" s="124">
        <f>U50+W50</f>
        <v>-1495665.4355398556</v>
      </c>
      <c r="Y50" s="124">
        <f>Baseline_DCF!U50</f>
        <v>-1921874.9999999998</v>
      </c>
      <c r="Z50" s="124">
        <f>X50-Y50</f>
        <v>426209.56446014415</v>
      </c>
      <c r="AA50" s="68">
        <f t="shared" ref="AA50:AA89" si="5">Z50*B50</f>
        <v>387463.24041831284</v>
      </c>
      <c r="AB50" s="124">
        <f t="shared" ref="AB50:AB89" si="6">-U50</f>
        <v>403683.90239176044</v>
      </c>
      <c r="AC50" s="124">
        <f t="shared" ref="AC50:AC89" si="7">-W50</f>
        <v>1091981.5331480952</v>
      </c>
    </row>
    <row r="51" spans="1:29" ht="14.4" x14ac:dyDescent="0.3">
      <c r="A51" s="35">
        <f t="shared" ref="A51:A89" si="8">A50+1</f>
        <v>2</v>
      </c>
      <c r="B51" s="44">
        <f>1/(1+Solar_DCF!$B$8)^A51</f>
        <v>0.82644628099173545</v>
      </c>
      <c r="C51" s="36">
        <f>IF(A51&lt;(Solar_DCF!$B$6+1),1,0)</f>
        <v>1</v>
      </c>
      <c r="D51" s="36">
        <f>IF(A51&lt;(Solar_DCF!$B$11+1),1,0)</f>
        <v>1</v>
      </c>
      <c r="E51" s="36">
        <f>IF(A51&lt;(Solar_DCF!$B$12+1),1,0)</f>
        <v>1</v>
      </c>
      <c r="F51" s="98">
        <f xml:space="preserve"> -Solar_DCF!$B$32*D51</f>
        <v>-249391.82644914757</v>
      </c>
      <c r="G51" s="124">
        <f>-F51*Solar_DCF!$B$9</f>
        <v>0</v>
      </c>
      <c r="H51" s="124">
        <f>-Solar_DCF!$B$28*C51</f>
        <v>-326995.91575864755</v>
      </c>
      <c r="I51" s="98">
        <f>J50</f>
        <v>2085870.0051368554</v>
      </c>
      <c r="J51" s="98">
        <f t="shared" si="3"/>
        <v>1915314.3397634721</v>
      </c>
      <c r="K51" s="98">
        <f>-I51*Solar_DCF!$B$7</f>
        <v>-156440.25038526414</v>
      </c>
      <c r="L51" s="124">
        <f>-(K51*Solar_DCF!$B$9)</f>
        <v>0</v>
      </c>
      <c r="M51" s="98">
        <f t="shared" ref="M51:M89" si="9">-$B$15*$B$23*E51*(1+$B$10)^A51</f>
        <v>-78605.186298940695</v>
      </c>
      <c r="N51" s="98">
        <f t="shared" ref="N51:N89" si="10">M51*$B$9</f>
        <v>0</v>
      </c>
      <c r="O51" s="98">
        <f t="shared" ref="O51:O89" si="11">-E51*$D$22*$B$14*(1+$B$10)^A51</f>
        <v>0</v>
      </c>
      <c r="P51" s="98">
        <f t="shared" ref="P51:P89" si="12">O51*$B$9</f>
        <v>0</v>
      </c>
      <c r="Q51" s="124">
        <f t="shared" ref="Q51:Q89" si="13">(M51+O51-N51-P51)</f>
        <v>-78605.186298940695</v>
      </c>
      <c r="R51" s="98">
        <f t="shared" ref="R51:R89" si="14">-E51*$B$21*(1+$B$17)^A51</f>
        <v>0</v>
      </c>
      <c r="S51" s="98">
        <f t="shared" ref="S51:S89" si="15">-R51*$B$9</f>
        <v>0</v>
      </c>
      <c r="T51" s="124">
        <f t="shared" ref="T51:T89" si="16">R51+S51</f>
        <v>0</v>
      </c>
      <c r="U51" s="124">
        <f t="shared" ref="U51:U89" si="17">G51+H51+L51+Q51+T51+IF(AND(E51=1,E52=0),$B$24,0)</f>
        <v>-405601.10205758823</v>
      </c>
      <c r="V51" s="68">
        <f t="shared" si="2"/>
        <v>-335207.52236164315</v>
      </c>
      <c r="W51" s="124">
        <f t="shared" si="4"/>
        <v>-1116627.3327860744</v>
      </c>
      <c r="X51" s="124">
        <f t="shared" ref="X51:X89" si="18">U51+W51</f>
        <v>-1522228.4348436627</v>
      </c>
      <c r="Y51" s="124">
        <f>Baseline_DCF!U51</f>
        <v>-1969921.8749999998</v>
      </c>
      <c r="Z51" s="124">
        <f t="shared" ref="Z51:Z89" si="19">X51-Y51</f>
        <v>447693.44015633711</v>
      </c>
      <c r="AA51" s="68">
        <f t="shared" si="5"/>
        <v>369994.57864160085</v>
      </c>
      <c r="AB51" s="124">
        <f t="shared" si="6"/>
        <v>405601.10205758823</v>
      </c>
      <c r="AC51" s="124">
        <f t="shared" si="7"/>
        <v>1116627.3327860744</v>
      </c>
    </row>
    <row r="52" spans="1:29" ht="14.4" x14ac:dyDescent="0.3">
      <c r="A52" s="35">
        <f t="shared" si="8"/>
        <v>3</v>
      </c>
      <c r="B52" s="44">
        <f>1/(1+Solar_DCF!$B$8)^A52</f>
        <v>0.75131480090157754</v>
      </c>
      <c r="C52" s="36">
        <f>IF(A52&lt;(Solar_DCF!$B$6+1),1,0)</f>
        <v>1</v>
      </c>
      <c r="D52" s="36">
        <f>IF(A52&lt;(Solar_DCF!$B$11+1),1,0)</f>
        <v>1</v>
      </c>
      <c r="E52" s="36">
        <f>IF(A52&lt;(Solar_DCF!$B$12+1),1,0)</f>
        <v>1</v>
      </c>
      <c r="F52" s="98">
        <f xml:space="preserve"> -Solar_DCF!$B$32*D52</f>
        <v>-249391.82644914757</v>
      </c>
      <c r="G52" s="124">
        <f>-F52*Solar_DCF!$B$9</f>
        <v>0</v>
      </c>
      <c r="H52" s="124">
        <f>-Solar_DCF!$B$28*C52</f>
        <v>-326995.91575864755</v>
      </c>
      <c r="I52" s="98">
        <f t="shared" ref="I52:I64" si="20">J51</f>
        <v>1915314.3397634721</v>
      </c>
      <c r="J52" s="98">
        <f t="shared" si="3"/>
        <v>1731966.999487085</v>
      </c>
      <c r="K52" s="98">
        <f>-I52*Solar_DCF!$B$7</f>
        <v>-143648.57548226041</v>
      </c>
      <c r="L52" s="124">
        <f>-(K52*Solar_DCF!$B$9)</f>
        <v>0</v>
      </c>
      <c r="M52" s="98">
        <f t="shared" si="9"/>
        <v>-80570.315956414212</v>
      </c>
      <c r="N52" s="98">
        <f t="shared" si="10"/>
        <v>0</v>
      </c>
      <c r="O52" s="98">
        <f t="shared" si="11"/>
        <v>0</v>
      </c>
      <c r="P52" s="98">
        <f t="shared" si="12"/>
        <v>0</v>
      </c>
      <c r="Q52" s="124">
        <f t="shared" si="13"/>
        <v>-80570.315956414212</v>
      </c>
      <c r="R52" s="98">
        <f t="shared" si="14"/>
        <v>0</v>
      </c>
      <c r="S52" s="98">
        <f t="shared" si="15"/>
        <v>0</v>
      </c>
      <c r="T52" s="124">
        <f t="shared" si="16"/>
        <v>0</v>
      </c>
      <c r="U52" s="124">
        <f t="shared" si="17"/>
        <v>-407566.23171506176</v>
      </c>
      <c r="V52" s="68">
        <f t="shared" si="2"/>
        <v>-306210.54223520786</v>
      </c>
      <c r="W52" s="124">
        <f t="shared" si="4"/>
        <v>-1141889.2774150029</v>
      </c>
      <c r="X52" s="124">
        <f t="shared" si="18"/>
        <v>-1549455.5091300646</v>
      </c>
      <c r="Y52" s="124">
        <f>Baseline_DCF!U52</f>
        <v>-2019169.9218749998</v>
      </c>
      <c r="Z52" s="124">
        <f t="shared" si="19"/>
        <v>469714.41274493514</v>
      </c>
      <c r="AA52" s="68">
        <f t="shared" si="5"/>
        <v>352903.39049206238</v>
      </c>
      <c r="AB52" s="124">
        <f t="shared" si="6"/>
        <v>407566.23171506176</v>
      </c>
      <c r="AC52" s="124">
        <f t="shared" si="7"/>
        <v>1141889.2774150029</v>
      </c>
    </row>
    <row r="53" spans="1:29" ht="14.4" x14ac:dyDescent="0.3">
      <c r="A53" s="35">
        <f t="shared" si="8"/>
        <v>4</v>
      </c>
      <c r="B53" s="44">
        <f>1/(1+Solar_DCF!$B$8)^A53</f>
        <v>0.68301345536507052</v>
      </c>
      <c r="C53" s="36">
        <f>IF(A53&lt;(Solar_DCF!$B$6+1),1,0)</f>
        <v>1</v>
      </c>
      <c r="D53" s="36">
        <f>IF(A53&lt;(Solar_DCF!$B$11+1),1,0)</f>
        <v>1</v>
      </c>
      <c r="E53" s="36">
        <f>IF(A53&lt;(Solar_DCF!$B$12+1),1,0)</f>
        <v>1</v>
      </c>
      <c r="F53" s="98">
        <f xml:space="preserve"> -Solar_DCF!$B$32*D53</f>
        <v>-249391.82644914757</v>
      </c>
      <c r="G53" s="124">
        <f>-F53*Solar_DCF!$B$9</f>
        <v>0</v>
      </c>
      <c r="H53" s="124">
        <f>-Solar_DCF!$B$28*C53</f>
        <v>-326995.91575864755</v>
      </c>
      <c r="I53" s="98">
        <f t="shared" si="20"/>
        <v>1731966.999487085</v>
      </c>
      <c r="J53" s="98">
        <f t="shared" si="3"/>
        <v>1534868.6086899689</v>
      </c>
      <c r="K53" s="98">
        <f>-I53*Solar_DCF!$B$7</f>
        <v>-129897.52496153137</v>
      </c>
      <c r="L53" s="124">
        <f>-(K53*Solar_DCF!$B$9)</f>
        <v>0</v>
      </c>
      <c r="M53" s="98">
        <f t="shared" si="9"/>
        <v>-82584.573855324561</v>
      </c>
      <c r="N53" s="98">
        <f t="shared" si="10"/>
        <v>0</v>
      </c>
      <c r="O53" s="98">
        <f t="shared" si="11"/>
        <v>0</v>
      </c>
      <c r="P53" s="98">
        <f t="shared" si="12"/>
        <v>0</v>
      </c>
      <c r="Q53" s="124">
        <f t="shared" si="13"/>
        <v>-82584.573855324561</v>
      </c>
      <c r="R53" s="98">
        <f t="shared" si="14"/>
        <v>0</v>
      </c>
      <c r="S53" s="98">
        <f t="shared" si="15"/>
        <v>0</v>
      </c>
      <c r="T53" s="124">
        <f t="shared" si="16"/>
        <v>0</v>
      </c>
      <c r="U53" s="124">
        <f t="shared" si="17"/>
        <v>-409580.48961397214</v>
      </c>
      <c r="V53" s="68">
        <f t="shared" si="2"/>
        <v>-279748.98546135647</v>
      </c>
      <c r="W53" s="124">
        <f t="shared" si="4"/>
        <v>-1167782.7706596544</v>
      </c>
      <c r="X53" s="124">
        <f t="shared" si="18"/>
        <v>-1577363.2602736265</v>
      </c>
      <c r="Y53" s="124">
        <f>Baseline_DCF!U53</f>
        <v>-2069649.1699218745</v>
      </c>
      <c r="Z53" s="124">
        <f t="shared" si="19"/>
        <v>492285.90964824799</v>
      </c>
      <c r="AA53" s="68">
        <f t="shared" si="5"/>
        <v>336237.90017638676</v>
      </c>
      <c r="AB53" s="124">
        <f t="shared" si="6"/>
        <v>409580.48961397214</v>
      </c>
      <c r="AC53" s="124">
        <f t="shared" si="7"/>
        <v>1167782.7706596544</v>
      </c>
    </row>
    <row r="54" spans="1:29" ht="14.4" x14ac:dyDescent="0.3">
      <c r="A54" s="35">
        <f t="shared" si="8"/>
        <v>5</v>
      </c>
      <c r="B54" s="44">
        <f>1/(1+Solar_DCF!$B$8)^A54</f>
        <v>0.62092132305915493</v>
      </c>
      <c r="C54" s="36">
        <f>IF(A54&lt;(Solar_DCF!$B$6+1),1,0)</f>
        <v>1</v>
      </c>
      <c r="D54" s="36">
        <f>IF(A54&lt;(Solar_DCF!$B$11+1),1,0)</f>
        <v>1</v>
      </c>
      <c r="E54" s="36">
        <f>IF(A54&lt;(Solar_DCF!$B$12+1),1,0)</f>
        <v>1</v>
      </c>
      <c r="F54" s="98">
        <f xml:space="preserve"> -Solar_DCF!$B$32*D54</f>
        <v>-249391.82644914757</v>
      </c>
      <c r="G54" s="124">
        <f>-F54*Solar_DCF!$B$9</f>
        <v>0</v>
      </c>
      <c r="H54" s="124">
        <f>-Solar_DCF!$B$28*C54</f>
        <v>-326995.91575864755</v>
      </c>
      <c r="I54" s="98">
        <f t="shared" si="20"/>
        <v>1534868.6086899689</v>
      </c>
      <c r="J54" s="98">
        <f t="shared" si="3"/>
        <v>1322987.8385830692</v>
      </c>
      <c r="K54" s="98">
        <f>-I54*Solar_DCF!$B$7</f>
        <v>-115115.14565174766</v>
      </c>
      <c r="L54" s="124">
        <f>-(K54*Solar_DCF!$B$9)</f>
        <v>0</v>
      </c>
      <c r="M54" s="98">
        <f t="shared" si="9"/>
        <v>-84649.188201707671</v>
      </c>
      <c r="N54" s="98">
        <f t="shared" si="10"/>
        <v>0</v>
      </c>
      <c r="O54" s="98">
        <f t="shared" si="11"/>
        <v>0</v>
      </c>
      <c r="P54" s="98">
        <f t="shared" si="12"/>
        <v>0</v>
      </c>
      <c r="Q54" s="124">
        <f t="shared" si="13"/>
        <v>-84649.188201707671</v>
      </c>
      <c r="R54" s="98">
        <f t="shared" si="14"/>
        <v>0</v>
      </c>
      <c r="S54" s="98">
        <f t="shared" si="15"/>
        <v>0</v>
      </c>
      <c r="T54" s="124">
        <f t="shared" si="16"/>
        <v>0</v>
      </c>
      <c r="U54" s="124">
        <f t="shared" si="17"/>
        <v>-411645.10396035522</v>
      </c>
      <c r="V54" s="68">
        <f t="shared" si="2"/>
        <v>-255599.22258188715</v>
      </c>
      <c r="W54" s="124">
        <f t="shared" si="4"/>
        <v>-1194323.6012354225</v>
      </c>
      <c r="X54" s="124">
        <f t="shared" si="18"/>
        <v>-1605968.7051957778</v>
      </c>
      <c r="Y54" s="124">
        <f>Baseline_DCF!U54</f>
        <v>-2121390.3991699214</v>
      </c>
      <c r="Z54" s="124">
        <f t="shared" si="19"/>
        <v>515421.69397414359</v>
      </c>
      <c r="AA54" s="68">
        <f t="shared" si="5"/>
        <v>320036.32015581609</v>
      </c>
      <c r="AB54" s="124">
        <f t="shared" si="6"/>
        <v>411645.10396035522</v>
      </c>
      <c r="AC54" s="124">
        <f t="shared" si="7"/>
        <v>1194323.6012354225</v>
      </c>
    </row>
    <row r="55" spans="1:29" ht="14.4" x14ac:dyDescent="0.3">
      <c r="A55" s="35">
        <f t="shared" si="8"/>
        <v>6</v>
      </c>
      <c r="B55" s="44">
        <f>1/(1+Solar_DCF!$B$8)^A55</f>
        <v>0.56447393005377722</v>
      </c>
      <c r="C55" s="36">
        <f>IF(A55&lt;(Solar_DCF!$B$6+1),1,0)</f>
        <v>1</v>
      </c>
      <c r="D55" s="36">
        <f>IF(A55&lt;(Solar_DCF!$B$11+1),1,0)</f>
        <v>1</v>
      </c>
      <c r="E55" s="36">
        <f>IF(A55&lt;(Solar_DCF!$B$12+1),1,0)</f>
        <v>1</v>
      </c>
      <c r="F55" s="98">
        <f xml:space="preserve"> -Solar_DCF!$B$32*D55</f>
        <v>-249391.82644914757</v>
      </c>
      <c r="G55" s="124">
        <f>-F55*Solar_DCF!$B$9</f>
        <v>0</v>
      </c>
      <c r="H55" s="124">
        <f>-Solar_DCF!$B$28*C55</f>
        <v>-326995.91575864755</v>
      </c>
      <c r="I55" s="98">
        <f t="shared" si="20"/>
        <v>1322987.8385830692</v>
      </c>
      <c r="J55" s="98">
        <f t="shared" si="3"/>
        <v>1095216.0107181519</v>
      </c>
      <c r="K55" s="98">
        <f>-I55*Solar_DCF!$B$7</f>
        <v>-99224.08789373019</v>
      </c>
      <c r="L55" s="124">
        <f>-(K55*Solar_DCF!$B$9)</f>
        <v>0</v>
      </c>
      <c r="M55" s="98">
        <f t="shared" si="9"/>
        <v>-86765.417906750343</v>
      </c>
      <c r="N55" s="98">
        <f t="shared" si="10"/>
        <v>0</v>
      </c>
      <c r="O55" s="98">
        <f t="shared" si="11"/>
        <v>0</v>
      </c>
      <c r="P55" s="98">
        <f t="shared" si="12"/>
        <v>0</v>
      </c>
      <c r="Q55" s="124">
        <f t="shared" si="13"/>
        <v>-86765.417906750343</v>
      </c>
      <c r="R55" s="98">
        <f t="shared" si="14"/>
        <v>0</v>
      </c>
      <c r="S55" s="98">
        <f t="shared" si="15"/>
        <v>0</v>
      </c>
      <c r="T55" s="124">
        <f t="shared" si="16"/>
        <v>0</v>
      </c>
      <c r="U55" s="124">
        <f t="shared" si="17"/>
        <v>-413761.33366539789</v>
      </c>
      <c r="V55" s="68">
        <f t="shared" si="2"/>
        <v>-233557.48611839939</v>
      </c>
      <c r="W55" s="124">
        <f t="shared" si="4"/>
        <v>-1221527.9525755844</v>
      </c>
      <c r="X55" s="124">
        <f t="shared" si="18"/>
        <v>-1635289.2862409824</v>
      </c>
      <c r="Y55" s="124">
        <f>Baseline_DCF!U55</f>
        <v>-2174425.159149169</v>
      </c>
      <c r="Z55" s="124">
        <f t="shared" si="19"/>
        <v>539135.87290818663</v>
      </c>
      <c r="AA55" s="68">
        <f t="shared" si="5"/>
        <v>304328.14501345786</v>
      </c>
      <c r="AB55" s="124">
        <f t="shared" si="6"/>
        <v>413761.33366539789</v>
      </c>
      <c r="AC55" s="124">
        <f t="shared" si="7"/>
        <v>1221527.9525755844</v>
      </c>
    </row>
    <row r="56" spans="1:29" ht="14.4" x14ac:dyDescent="0.3">
      <c r="A56" s="35">
        <f t="shared" si="8"/>
        <v>7</v>
      </c>
      <c r="B56" s="44">
        <f>1/(1+Solar_DCF!$B$8)^A56</f>
        <v>0.51315811823070645</v>
      </c>
      <c r="C56" s="36">
        <f>IF(A56&lt;(Solar_DCF!$B$6+1),1,0)</f>
        <v>1</v>
      </c>
      <c r="D56" s="36">
        <f>IF(A56&lt;(Solar_DCF!$B$11+1),1,0)</f>
        <v>1</v>
      </c>
      <c r="E56" s="36">
        <f>IF(A56&lt;(Solar_DCF!$B$12+1),1,0)</f>
        <v>1</v>
      </c>
      <c r="F56" s="98">
        <f xml:space="preserve"> -Solar_DCF!$B$32*D56</f>
        <v>-249391.82644914757</v>
      </c>
      <c r="G56" s="124">
        <f>-F56*Solar_DCF!$B$9</f>
        <v>0</v>
      </c>
      <c r="H56" s="124">
        <f>-Solar_DCF!$B$28*C56</f>
        <v>-326995.91575864755</v>
      </c>
      <c r="I56" s="98">
        <f t="shared" si="20"/>
        <v>1095216.0107181519</v>
      </c>
      <c r="J56" s="98">
        <f t="shared" si="3"/>
        <v>850361.29576336581</v>
      </c>
      <c r="K56" s="98">
        <f>-I56*Solar_DCF!$B$7</f>
        <v>-82141.200803861386</v>
      </c>
      <c r="L56" s="124">
        <f>-(K56*Solar_DCF!$B$9)</f>
        <v>0</v>
      </c>
      <c r="M56" s="98">
        <f t="shared" si="9"/>
        <v>-88934.553354419113</v>
      </c>
      <c r="N56" s="98">
        <f t="shared" si="10"/>
        <v>0</v>
      </c>
      <c r="O56" s="98">
        <f t="shared" si="11"/>
        <v>0</v>
      </c>
      <c r="P56" s="98">
        <f t="shared" si="12"/>
        <v>0</v>
      </c>
      <c r="Q56" s="124">
        <f t="shared" si="13"/>
        <v>-88934.553354419113</v>
      </c>
      <c r="R56" s="98">
        <f t="shared" si="14"/>
        <v>0</v>
      </c>
      <c r="S56" s="98">
        <f t="shared" si="15"/>
        <v>0</v>
      </c>
      <c r="T56" s="124">
        <f t="shared" si="16"/>
        <v>0</v>
      </c>
      <c r="U56" s="124">
        <f t="shared" si="17"/>
        <v>-415930.46911306668</v>
      </c>
      <c r="V56" s="68">
        <f t="shared" si="2"/>
        <v>-213438.09684487627</v>
      </c>
      <c r="W56" s="124">
        <f t="shared" si="4"/>
        <v>-1249412.4126992507</v>
      </c>
      <c r="X56" s="124">
        <f t="shared" si="18"/>
        <v>-1665342.8818123173</v>
      </c>
      <c r="Y56" s="124">
        <f>Baseline_DCF!U56</f>
        <v>-2228785.7881278982</v>
      </c>
      <c r="Z56" s="124">
        <f t="shared" si="19"/>
        <v>563442.90631558094</v>
      </c>
      <c r="AA56" s="68">
        <f t="shared" si="5"/>
        <v>289135.30153534375</v>
      </c>
      <c r="AB56" s="124">
        <f t="shared" si="6"/>
        <v>415930.46911306668</v>
      </c>
      <c r="AC56" s="124">
        <f t="shared" si="7"/>
        <v>1249412.4126992507</v>
      </c>
    </row>
    <row r="57" spans="1:29" ht="14.4" x14ac:dyDescent="0.3">
      <c r="A57" s="35">
        <f t="shared" si="8"/>
        <v>8</v>
      </c>
      <c r="B57" s="44">
        <f>1/(1+Solar_DCF!$B$8)^A57</f>
        <v>0.46650738020973315</v>
      </c>
      <c r="C57" s="36">
        <f>IF(A57&lt;(Solar_DCF!$B$6+1),1,0)</f>
        <v>1</v>
      </c>
      <c r="D57" s="36">
        <f>IF(A57&lt;(Solar_DCF!$B$11+1),1,0)</f>
        <v>1</v>
      </c>
      <c r="E57" s="36">
        <f>IF(A57&lt;(Solar_DCF!$B$12+1),1,0)</f>
        <v>1</v>
      </c>
      <c r="F57" s="98">
        <f xml:space="preserve"> -Solar_DCF!$B$32*D57</f>
        <v>-249391.82644914757</v>
      </c>
      <c r="G57" s="124">
        <f>-F57*Solar_DCF!$B$9</f>
        <v>0</v>
      </c>
      <c r="H57" s="124">
        <f>-Solar_DCF!$B$28*C57</f>
        <v>-326995.91575864755</v>
      </c>
      <c r="I57" s="98">
        <f t="shared" si="20"/>
        <v>850361.29576336581</v>
      </c>
      <c r="J57" s="98">
        <f t="shared" si="3"/>
        <v>587142.47718697065</v>
      </c>
      <c r="K57" s="98">
        <f>-I57*Solar_DCF!$B$7</f>
        <v>-63777.09718225243</v>
      </c>
      <c r="L57" s="124">
        <f>-(K57*Solar_DCF!$B$9)</f>
        <v>0</v>
      </c>
      <c r="M57" s="98">
        <f t="shared" si="9"/>
        <v>-91157.917188279578</v>
      </c>
      <c r="N57" s="98">
        <f t="shared" si="10"/>
        <v>0</v>
      </c>
      <c r="O57" s="98">
        <f t="shared" si="11"/>
        <v>0</v>
      </c>
      <c r="P57" s="98">
        <f t="shared" si="12"/>
        <v>0</v>
      </c>
      <c r="Q57" s="124">
        <f t="shared" si="13"/>
        <v>-91157.917188279578</v>
      </c>
      <c r="R57" s="98">
        <f t="shared" si="14"/>
        <v>0</v>
      </c>
      <c r="S57" s="98">
        <f t="shared" si="15"/>
        <v>0</v>
      </c>
      <c r="T57" s="124">
        <f t="shared" si="16"/>
        <v>0</v>
      </c>
      <c r="U57" s="124">
        <f t="shared" si="17"/>
        <v>-418153.83294692711</v>
      </c>
      <c r="V57" s="68">
        <f t="shared" si="2"/>
        <v>-195071.84913272937</v>
      </c>
      <c r="W57" s="124">
        <f t="shared" si="4"/>
        <v>-1277993.9843260085</v>
      </c>
      <c r="X57" s="124">
        <f t="shared" si="18"/>
        <v>-1696147.8172729355</v>
      </c>
      <c r="Y57" s="124">
        <f>Baseline_DCF!U57</f>
        <v>-2284505.4328310955</v>
      </c>
      <c r="Z57" s="124">
        <f t="shared" si="19"/>
        <v>588357.61555816</v>
      </c>
      <c r="AA57" s="68">
        <f t="shared" si="5"/>
        <v>274473.16986048257</v>
      </c>
      <c r="AB57" s="124">
        <f t="shared" si="6"/>
        <v>418153.83294692711</v>
      </c>
      <c r="AC57" s="124">
        <f t="shared" si="7"/>
        <v>1277993.9843260085</v>
      </c>
    </row>
    <row r="58" spans="1:29" ht="14.4" x14ac:dyDescent="0.3">
      <c r="A58" s="35">
        <f t="shared" si="8"/>
        <v>9</v>
      </c>
      <c r="B58" s="44">
        <f>1/(1+Solar_DCF!$B$8)^A58</f>
        <v>0.42409761837248466</v>
      </c>
      <c r="C58" s="36">
        <f>IF(A58&lt;(Solar_DCF!$B$6+1),1,0)</f>
        <v>1</v>
      </c>
      <c r="D58" s="36">
        <f>IF(A58&lt;(Solar_DCF!$B$11+1),1,0)</f>
        <v>1</v>
      </c>
      <c r="E58" s="36">
        <f>IF(A58&lt;(Solar_DCF!$B$12+1),1,0)</f>
        <v>1</v>
      </c>
      <c r="F58" s="98">
        <f xml:space="preserve"> -Solar_DCF!$B$32*D58</f>
        <v>-249391.82644914757</v>
      </c>
      <c r="G58" s="124">
        <f>-F58*Solar_DCF!$B$9</f>
        <v>0</v>
      </c>
      <c r="H58" s="124">
        <f>-Solar_DCF!$B$28*C58</f>
        <v>-326995.91575864755</v>
      </c>
      <c r="I58" s="98">
        <f t="shared" si="20"/>
        <v>587142.47718697065</v>
      </c>
      <c r="J58" s="98">
        <f t="shared" si="3"/>
        <v>304182.24721734587</v>
      </c>
      <c r="K58" s="98">
        <f>-I58*Solar_DCF!$B$7</f>
        <v>-44035.685789022798</v>
      </c>
      <c r="L58" s="124">
        <f>-(K58*Solar_DCF!$B$9)</f>
        <v>0</v>
      </c>
      <c r="M58" s="98">
        <f t="shared" si="9"/>
        <v>-93436.865117986556</v>
      </c>
      <c r="N58" s="98">
        <f t="shared" si="10"/>
        <v>0</v>
      </c>
      <c r="O58" s="98">
        <f t="shared" si="11"/>
        <v>0</v>
      </c>
      <c r="P58" s="98">
        <f t="shared" si="12"/>
        <v>0</v>
      </c>
      <c r="Q58" s="124">
        <f t="shared" si="13"/>
        <v>-93436.865117986556</v>
      </c>
      <c r="R58" s="98">
        <f t="shared" si="14"/>
        <v>0</v>
      </c>
      <c r="S58" s="98">
        <f t="shared" si="15"/>
        <v>0</v>
      </c>
      <c r="T58" s="124">
        <f t="shared" si="16"/>
        <v>0</v>
      </c>
      <c r="U58" s="124">
        <f t="shared" si="17"/>
        <v>-420432.78087663412</v>
      </c>
      <c r="V58" s="68">
        <f t="shared" si="2"/>
        <v>-178304.54105550123</v>
      </c>
      <c r="W58" s="124">
        <f t="shared" si="4"/>
        <v>-1307290.0952434354</v>
      </c>
      <c r="X58" s="124">
        <f t="shared" si="18"/>
        <v>-1727722.8761200695</v>
      </c>
      <c r="Y58" s="124">
        <f>Baseline_DCF!U58</f>
        <v>-2341618.0686518727</v>
      </c>
      <c r="Z58" s="124">
        <f t="shared" si="19"/>
        <v>613895.19253180316</v>
      </c>
      <c r="AA58" s="68">
        <f t="shared" si="5"/>
        <v>260351.48908305564</v>
      </c>
      <c r="AB58" s="124">
        <f t="shared" si="6"/>
        <v>420432.78087663412</v>
      </c>
      <c r="AC58" s="124">
        <f t="shared" si="7"/>
        <v>1307290.0952434354</v>
      </c>
    </row>
    <row r="59" spans="1:29" ht="14.4" x14ac:dyDescent="0.3">
      <c r="A59" s="35">
        <f t="shared" si="8"/>
        <v>10</v>
      </c>
      <c r="B59" s="44">
        <f>1/(1+Solar_DCF!$B$8)^A59</f>
        <v>0.38554328942953148</v>
      </c>
      <c r="C59" s="36">
        <f>IF(A59&lt;(Solar_DCF!$B$6+1),1,0)</f>
        <v>1</v>
      </c>
      <c r="D59" s="36">
        <f>IF(A59&lt;(Solar_DCF!$B$11+1),1,0)</f>
        <v>1</v>
      </c>
      <c r="E59" s="36">
        <f>IF(A59&lt;(Solar_DCF!$B$12+1),1,0)</f>
        <v>1</v>
      </c>
      <c r="F59" s="98">
        <f xml:space="preserve"> -Solar_DCF!$B$32*D59</f>
        <v>-249391.82644914757</v>
      </c>
      <c r="G59" s="124">
        <f>-F59*Solar_DCF!$B$9</f>
        <v>0</v>
      </c>
      <c r="H59" s="124">
        <f>-Solar_DCF!$B$28*C59</f>
        <v>-326995.91575864755</v>
      </c>
      <c r="I59" s="98">
        <f t="shared" si="20"/>
        <v>304182.24721734587</v>
      </c>
      <c r="J59" s="98">
        <f t="shared" si="3"/>
        <v>-7.4214767664670944E-10</v>
      </c>
      <c r="K59" s="98">
        <f>-I59*Solar_DCF!$B$7</f>
        <v>-22813.66854130094</v>
      </c>
      <c r="L59" s="124">
        <f>-(K59*Solar_DCF!$B$9)</f>
        <v>0</v>
      </c>
      <c r="M59" s="98">
        <f t="shared" si="9"/>
        <v>-95772.786745936217</v>
      </c>
      <c r="N59" s="98">
        <f t="shared" si="10"/>
        <v>0</v>
      </c>
      <c r="O59" s="98">
        <f t="shared" si="11"/>
        <v>0</v>
      </c>
      <c r="P59" s="98">
        <f t="shared" si="12"/>
        <v>0</v>
      </c>
      <c r="Q59" s="124">
        <f t="shared" si="13"/>
        <v>-95772.786745936217</v>
      </c>
      <c r="R59" s="98">
        <f t="shared" si="14"/>
        <v>0</v>
      </c>
      <c r="S59" s="98">
        <f t="shared" si="15"/>
        <v>0</v>
      </c>
      <c r="T59" s="124">
        <f t="shared" si="16"/>
        <v>0</v>
      </c>
      <c r="U59" s="124">
        <f t="shared" si="17"/>
        <v>-422768.70250458375</v>
      </c>
      <c r="V59" s="68">
        <f t="shared" si="2"/>
        <v>-162995.63623147222</v>
      </c>
      <c r="W59" s="124">
        <f t="shared" si="4"/>
        <v>-1337318.6089337978</v>
      </c>
      <c r="X59" s="124">
        <f t="shared" si="18"/>
        <v>-1760087.3114383817</v>
      </c>
      <c r="Y59" s="124">
        <f>Baseline_DCF!U59</f>
        <v>-2400158.5203681695</v>
      </c>
      <c r="Z59" s="124">
        <f t="shared" si="19"/>
        <v>640071.20892978786</v>
      </c>
      <c r="AA59" s="68">
        <f t="shared" si="5"/>
        <v>246775.15935992732</v>
      </c>
      <c r="AB59" s="124">
        <f t="shared" si="6"/>
        <v>422768.70250458375</v>
      </c>
      <c r="AC59" s="124">
        <f t="shared" si="7"/>
        <v>1337318.6089337978</v>
      </c>
    </row>
    <row r="60" spans="1:29" ht="14.4" x14ac:dyDescent="0.3">
      <c r="A60" s="35">
        <f t="shared" si="8"/>
        <v>11</v>
      </c>
      <c r="B60" s="44">
        <f>1/(1+Solar_DCF!$B$8)^A60</f>
        <v>0.3504938994813922</v>
      </c>
      <c r="C60" s="36">
        <f>IF(A60&lt;(Solar_DCF!$B$6+1),1,0)</f>
        <v>0</v>
      </c>
      <c r="D60" s="36">
        <f>IF(A60&lt;(Solar_DCF!$B$11+1),1,0)</f>
        <v>1</v>
      </c>
      <c r="E60" s="36">
        <f>IF(A60&lt;(Solar_DCF!$B$12+1),1,0)</f>
        <v>1</v>
      </c>
      <c r="F60" s="98">
        <f xml:space="preserve"> -Solar_DCF!$B$32*D60</f>
        <v>-249391.82644914757</v>
      </c>
      <c r="G60" s="124">
        <f>-F60*Solar_DCF!$B$9</f>
        <v>0</v>
      </c>
      <c r="H60" s="124">
        <f>-Solar_DCF!$B$28*C60</f>
        <v>0</v>
      </c>
      <c r="I60" s="98">
        <f t="shared" si="20"/>
        <v>-7.4214767664670944E-10</v>
      </c>
      <c r="J60" s="98">
        <f t="shared" si="3"/>
        <v>-7.9780875239521269E-10</v>
      </c>
      <c r="K60" s="98">
        <f>-I60*Solar_DCF!$B$7</f>
        <v>5.5661075748503204E-11</v>
      </c>
      <c r="L60" s="124">
        <f>-(K60*Solar_DCF!$B$9)</f>
        <v>0</v>
      </c>
      <c r="M60" s="98">
        <f t="shared" si="9"/>
        <v>-98167.106414584632</v>
      </c>
      <c r="N60" s="98">
        <f t="shared" si="10"/>
        <v>0</v>
      </c>
      <c r="O60" s="98">
        <f t="shared" si="11"/>
        <v>0</v>
      </c>
      <c r="P60" s="98">
        <f t="shared" si="12"/>
        <v>0</v>
      </c>
      <c r="Q60" s="124">
        <f t="shared" si="13"/>
        <v>-98167.106414584632</v>
      </c>
      <c r="R60" s="98">
        <f t="shared" si="14"/>
        <v>0</v>
      </c>
      <c r="S60" s="98">
        <f t="shared" si="15"/>
        <v>0</v>
      </c>
      <c r="T60" s="124">
        <f t="shared" si="16"/>
        <v>0</v>
      </c>
      <c r="U60" s="124">
        <f t="shared" si="17"/>
        <v>-98167.106414584632</v>
      </c>
      <c r="V60" s="68">
        <f t="shared" si="2"/>
        <v>-34406.971928052561</v>
      </c>
      <c r="W60" s="124">
        <f t="shared" si="4"/>
        <v>-1261948.2878374858</v>
      </c>
      <c r="X60" s="124">
        <f t="shared" si="18"/>
        <v>-1360115.3942520705</v>
      </c>
      <c r="Y60" s="124">
        <f>Baseline_DCF!U60</f>
        <v>-2460162.4833773738</v>
      </c>
      <c r="Z60" s="124">
        <f t="shared" si="19"/>
        <v>1100047.0891253033</v>
      </c>
      <c r="AA60" s="68">
        <f t="shared" si="5"/>
        <v>385559.79388068215</v>
      </c>
      <c r="AB60" s="124">
        <f t="shared" si="6"/>
        <v>98167.106414584632</v>
      </c>
      <c r="AC60" s="124">
        <f t="shared" si="7"/>
        <v>1261948.2878374858</v>
      </c>
    </row>
    <row r="61" spans="1:29" ht="14.4" x14ac:dyDescent="0.3">
      <c r="A61" s="35">
        <f t="shared" si="8"/>
        <v>12</v>
      </c>
      <c r="B61" s="44">
        <f>1/(1+Solar_DCF!$B$8)^A61</f>
        <v>0.31863081771035656</v>
      </c>
      <c r="C61" s="36">
        <f>IF(A61&lt;(Solar_DCF!$B$6+1),1,0)</f>
        <v>0</v>
      </c>
      <c r="D61" s="36">
        <f>IF(A61&lt;(Solar_DCF!$B$11+1),1,0)</f>
        <v>1</v>
      </c>
      <c r="E61" s="36">
        <f>IF(A61&lt;(Solar_DCF!$B$12+1),1,0)</f>
        <v>1</v>
      </c>
      <c r="F61" s="98">
        <f xml:space="preserve"> -Solar_DCF!$B$32*D61</f>
        <v>-249391.82644914757</v>
      </c>
      <c r="G61" s="124">
        <f>-F61*Solar_DCF!$B$9</f>
        <v>0</v>
      </c>
      <c r="H61" s="124">
        <f>-Solar_DCF!$B$28*C61</f>
        <v>0</v>
      </c>
      <c r="I61" s="98">
        <f t="shared" si="20"/>
        <v>-7.9780875239521269E-10</v>
      </c>
      <c r="J61" s="98">
        <f t="shared" si="3"/>
        <v>-8.5764440882485361E-10</v>
      </c>
      <c r="K61" s="98">
        <f>-I61*Solar_DCF!$B$7</f>
        <v>5.9835656429640954E-11</v>
      </c>
      <c r="L61" s="124">
        <f>-(K61*Solar_DCF!$B$9)</f>
        <v>0</v>
      </c>
      <c r="M61" s="98">
        <f t="shared" si="9"/>
        <v>-100621.28407494923</v>
      </c>
      <c r="N61" s="98">
        <f t="shared" si="10"/>
        <v>0</v>
      </c>
      <c r="O61" s="98">
        <f t="shared" si="11"/>
        <v>0</v>
      </c>
      <c r="P61" s="98">
        <f t="shared" si="12"/>
        <v>0</v>
      </c>
      <c r="Q61" s="124">
        <f t="shared" si="13"/>
        <v>-100621.28407494923</v>
      </c>
      <c r="R61" s="98">
        <f t="shared" si="14"/>
        <v>0</v>
      </c>
      <c r="S61" s="98">
        <f t="shared" si="15"/>
        <v>0</v>
      </c>
      <c r="T61" s="124">
        <f t="shared" si="16"/>
        <v>0</v>
      </c>
      <c r="U61" s="124">
        <f t="shared" si="17"/>
        <v>-100621.28407494923</v>
      </c>
      <c r="V61" s="68">
        <f t="shared" si="2"/>
        <v>-32061.042023867154</v>
      </c>
      <c r="W61" s="124">
        <f t="shared" si="4"/>
        <v>-1293496.9950334227</v>
      </c>
      <c r="X61" s="124">
        <f t="shared" si="18"/>
        <v>-1394118.2791083721</v>
      </c>
      <c r="Y61" s="124">
        <f>Baseline_DCF!U61</f>
        <v>-2521666.5454618079</v>
      </c>
      <c r="Z61" s="124">
        <f t="shared" si="19"/>
        <v>1127548.2663534358</v>
      </c>
      <c r="AA61" s="68">
        <f t="shared" si="5"/>
        <v>359271.62611609016</v>
      </c>
      <c r="AB61" s="124">
        <f t="shared" si="6"/>
        <v>100621.28407494923</v>
      </c>
      <c r="AC61" s="124">
        <f t="shared" si="7"/>
        <v>1293496.9950334227</v>
      </c>
    </row>
    <row r="62" spans="1:29" ht="14.4" x14ac:dyDescent="0.3">
      <c r="A62" s="35">
        <f t="shared" si="8"/>
        <v>13</v>
      </c>
      <c r="B62" s="44">
        <f>1/(1+Solar_DCF!$B$8)^A62</f>
        <v>0.28966437973668779</v>
      </c>
      <c r="C62" s="36">
        <f>IF(A62&lt;(Solar_DCF!$B$6+1),1,0)</f>
        <v>0</v>
      </c>
      <c r="D62" s="36">
        <f>IF(A62&lt;(Solar_DCF!$B$11+1),1,0)</f>
        <v>1</v>
      </c>
      <c r="E62" s="36">
        <f>IF(A62&lt;(Solar_DCF!$B$12+1),1,0)</f>
        <v>1</v>
      </c>
      <c r="F62" s="98">
        <f xml:space="preserve"> -Solar_DCF!$B$32*D62</f>
        <v>-249391.82644914757</v>
      </c>
      <c r="G62" s="124">
        <f>-F62*Solar_DCF!$B$9</f>
        <v>0</v>
      </c>
      <c r="H62" s="124">
        <f>-Solar_DCF!$B$28*C62</f>
        <v>0</v>
      </c>
      <c r="I62" s="98">
        <f t="shared" si="20"/>
        <v>-8.5764440882485361E-10</v>
      </c>
      <c r="J62" s="98">
        <f t="shared" si="3"/>
        <v>-9.2196773948671761E-10</v>
      </c>
      <c r="K62" s="98">
        <f>-I62*Solar_DCF!$B$7</f>
        <v>6.4323330661864018E-11</v>
      </c>
      <c r="L62" s="124">
        <f>-(K62*Solar_DCF!$B$9)</f>
        <v>0</v>
      </c>
      <c r="M62" s="98">
        <f t="shared" si="9"/>
        <v>-103136.81617682296</v>
      </c>
      <c r="N62" s="98">
        <f t="shared" si="10"/>
        <v>0</v>
      </c>
      <c r="O62" s="98">
        <f t="shared" si="11"/>
        <v>0</v>
      </c>
      <c r="P62" s="98">
        <f t="shared" si="12"/>
        <v>0</v>
      </c>
      <c r="Q62" s="124">
        <f t="shared" si="13"/>
        <v>-103136.81617682296</v>
      </c>
      <c r="R62" s="98">
        <f t="shared" si="14"/>
        <v>0</v>
      </c>
      <c r="S62" s="98">
        <f t="shared" si="15"/>
        <v>0</v>
      </c>
      <c r="T62" s="124">
        <f t="shared" si="16"/>
        <v>0</v>
      </c>
      <c r="U62" s="124">
        <f t="shared" si="17"/>
        <v>-103136.81617682296</v>
      </c>
      <c r="V62" s="68">
        <f t="shared" si="2"/>
        <v>-29875.06188587621</v>
      </c>
      <c r="W62" s="124">
        <f t="shared" si="4"/>
        <v>-1325834.4199092584</v>
      </c>
      <c r="X62" s="124">
        <f t="shared" si="18"/>
        <v>-1428971.2360860812</v>
      </c>
      <c r="Y62" s="124">
        <f>Baseline_DCF!U62</f>
        <v>-2584708.2090983531</v>
      </c>
      <c r="Z62" s="124">
        <f t="shared" si="19"/>
        <v>1155736.9730122718</v>
      </c>
      <c r="AA62" s="68">
        <f t="shared" si="5"/>
        <v>334775.83342635678</v>
      </c>
      <c r="AB62" s="124">
        <f t="shared" si="6"/>
        <v>103136.81617682296</v>
      </c>
      <c r="AC62" s="124">
        <f t="shared" si="7"/>
        <v>1325834.4199092584</v>
      </c>
    </row>
    <row r="63" spans="1:29" ht="14.4" x14ac:dyDescent="0.3">
      <c r="A63" s="35">
        <f t="shared" si="8"/>
        <v>14</v>
      </c>
      <c r="B63" s="44">
        <f>1/(1+Solar_DCF!$B$8)^A63</f>
        <v>0.26333125430607973</v>
      </c>
      <c r="C63" s="36">
        <f>IF(A63&lt;(Solar_DCF!$B$6+1),1,0)</f>
        <v>0</v>
      </c>
      <c r="D63" s="36">
        <f>IF(A63&lt;(Solar_DCF!$B$11+1),1,0)</f>
        <v>1</v>
      </c>
      <c r="E63" s="36">
        <f>IF(A63&lt;(Solar_DCF!$B$12+1),1,0)</f>
        <v>1</v>
      </c>
      <c r="F63" s="98">
        <f xml:space="preserve"> -Solar_DCF!$B$32*D63</f>
        <v>-249391.82644914757</v>
      </c>
      <c r="G63" s="124">
        <f>-F63*Solar_DCF!$B$9</f>
        <v>0</v>
      </c>
      <c r="H63" s="124">
        <f>-Solar_DCF!$B$28*C63</f>
        <v>0</v>
      </c>
      <c r="I63" s="98">
        <f t="shared" si="20"/>
        <v>-9.2196773948671761E-10</v>
      </c>
      <c r="J63" s="98">
        <f t="shared" si="3"/>
        <v>-9.9111531994822141E-10</v>
      </c>
      <c r="K63" s="98">
        <f>-I63*Solar_DCF!$B$7</f>
        <v>6.9147580461503813E-11</v>
      </c>
      <c r="L63" s="124">
        <f>-(K63*Solar_DCF!$B$9)</f>
        <v>0</v>
      </c>
      <c r="M63" s="98">
        <f t="shared" si="9"/>
        <v>-105715.23658124352</v>
      </c>
      <c r="N63" s="98">
        <f t="shared" si="10"/>
        <v>0</v>
      </c>
      <c r="O63" s="98">
        <f t="shared" si="11"/>
        <v>0</v>
      </c>
      <c r="P63" s="98">
        <f t="shared" si="12"/>
        <v>0</v>
      </c>
      <c r="Q63" s="124">
        <f t="shared" si="13"/>
        <v>-105715.23658124352</v>
      </c>
      <c r="R63" s="98">
        <f t="shared" si="14"/>
        <v>0</v>
      </c>
      <c r="S63" s="98">
        <f t="shared" si="15"/>
        <v>0</v>
      </c>
      <c r="T63" s="124">
        <f t="shared" si="16"/>
        <v>0</v>
      </c>
      <c r="U63" s="124">
        <f t="shared" si="17"/>
        <v>-105715.23658124352</v>
      </c>
      <c r="V63" s="68">
        <f t="shared" si="2"/>
        <v>-27838.125848202821</v>
      </c>
      <c r="W63" s="124">
        <f t="shared" si="4"/>
        <v>-1358980.2804069896</v>
      </c>
      <c r="X63" s="124">
        <f t="shared" si="18"/>
        <v>-1464695.5169882332</v>
      </c>
      <c r="Y63" s="124">
        <f>Baseline_DCF!U63</f>
        <v>-2649325.9143258114</v>
      </c>
      <c r="Z63" s="124">
        <f t="shared" si="19"/>
        <v>1184630.3973375782</v>
      </c>
      <c r="AA63" s="68">
        <f t="shared" si="5"/>
        <v>311950.20842001407</v>
      </c>
      <c r="AB63" s="124">
        <f t="shared" si="6"/>
        <v>105715.23658124352</v>
      </c>
      <c r="AC63" s="124">
        <f t="shared" si="7"/>
        <v>1358980.2804069896</v>
      </c>
    </row>
    <row r="64" spans="1:29" ht="14.4" x14ac:dyDescent="0.3">
      <c r="A64" s="35">
        <f t="shared" si="8"/>
        <v>15</v>
      </c>
      <c r="B64" s="44">
        <f>1/(1+Solar_DCF!$B$8)^A64</f>
        <v>0.23939204936916339</v>
      </c>
      <c r="C64" s="36">
        <f>IF(A64&lt;(Solar_DCF!$B$6+1),1,0)</f>
        <v>0</v>
      </c>
      <c r="D64" s="36">
        <f>IF(A64&lt;(Solar_DCF!$B$11+1),1,0)</f>
        <v>1</v>
      </c>
      <c r="E64" s="36">
        <f>IF(A64&lt;(Solar_DCF!$B$12+1),1,0)</f>
        <v>1</v>
      </c>
      <c r="F64" s="98">
        <f xml:space="preserve"> -Solar_DCF!$B$32*D64</f>
        <v>-249391.82644914757</v>
      </c>
      <c r="G64" s="124">
        <f>-F64*Solar_DCF!$B$9</f>
        <v>0</v>
      </c>
      <c r="H64" s="124">
        <f>-Solar_DCF!$B$28*C64</f>
        <v>0</v>
      </c>
      <c r="I64" s="98">
        <f t="shared" si="20"/>
        <v>-9.9111531994822141E-10</v>
      </c>
      <c r="J64" s="98">
        <f t="shared" si="3"/>
        <v>-1.0654489689443381E-9</v>
      </c>
      <c r="K64" s="98">
        <f>-I64*Solar_DCF!$B$7</f>
        <v>7.4333648996116603E-11</v>
      </c>
      <c r="L64" s="124">
        <f>-(K64*Solar_DCF!$B$9)</f>
        <v>0</v>
      </c>
      <c r="M64" s="98">
        <f t="shared" si="9"/>
        <v>-108358.11749577463</v>
      </c>
      <c r="N64" s="98">
        <f t="shared" si="10"/>
        <v>0</v>
      </c>
      <c r="O64" s="98">
        <f t="shared" si="11"/>
        <v>0</v>
      </c>
      <c r="P64" s="98">
        <f t="shared" si="12"/>
        <v>0</v>
      </c>
      <c r="Q64" s="124">
        <f t="shared" si="13"/>
        <v>-108358.11749577463</v>
      </c>
      <c r="R64" s="98">
        <f t="shared" si="14"/>
        <v>0</v>
      </c>
      <c r="S64" s="98">
        <f t="shared" si="15"/>
        <v>0</v>
      </c>
      <c r="T64" s="124">
        <f t="shared" si="16"/>
        <v>0</v>
      </c>
      <c r="U64" s="124">
        <f t="shared" si="17"/>
        <v>-108358.11749577463</v>
      </c>
      <c r="V64" s="68">
        <f t="shared" si="2"/>
        <v>-25940.071813098086</v>
      </c>
      <c r="W64" s="124">
        <f t="shared" si="4"/>
        <v>-1392954.7874171645</v>
      </c>
      <c r="X64" s="124">
        <f t="shared" si="18"/>
        <v>-1501312.9049129391</v>
      </c>
      <c r="Y64" s="124">
        <f>Baseline_DCF!U64</f>
        <v>-2715559.0621839571</v>
      </c>
      <c r="Z64" s="124">
        <f t="shared" si="19"/>
        <v>1214246.157271018</v>
      </c>
      <c r="AA64" s="68">
        <f t="shared" si="5"/>
        <v>290680.87602774048</v>
      </c>
      <c r="AB64" s="124">
        <f t="shared" si="6"/>
        <v>108358.11749577463</v>
      </c>
      <c r="AC64" s="124">
        <f t="shared" si="7"/>
        <v>1392954.7874171645</v>
      </c>
    </row>
    <row r="65" spans="1:29" ht="14.4" x14ac:dyDescent="0.3">
      <c r="A65" s="35">
        <f t="shared" si="8"/>
        <v>16</v>
      </c>
      <c r="B65" s="44">
        <f>1/(1+Solar_DCF!$B$8)^A65</f>
        <v>0.21762913579014853</v>
      </c>
      <c r="C65" s="36">
        <f>IF(A65&lt;(Solar_DCF!$B$6+1),1,0)</f>
        <v>0</v>
      </c>
      <c r="D65" s="36">
        <f>IF(A65&lt;(Solar_DCF!$B$11+1),1,0)</f>
        <v>0</v>
      </c>
      <c r="E65" s="36">
        <f>IF(A65&lt;(Solar_DCF!$B$12+1),1,0)</f>
        <v>1</v>
      </c>
      <c r="F65" s="98">
        <f xml:space="preserve"> -Solar_DCF!$B$32*D65</f>
        <v>0</v>
      </c>
      <c r="G65" s="124">
        <f>-F65*Solar_DCF!$B$9</f>
        <v>0</v>
      </c>
      <c r="H65" s="124">
        <f>-Solar_DCF!$B$28*C65</f>
        <v>0</v>
      </c>
      <c r="I65" s="98">
        <f>J64</f>
        <v>-1.0654489689443381E-9</v>
      </c>
      <c r="J65" s="98">
        <f t="shared" si="3"/>
        <v>-1.1453576416151635E-9</v>
      </c>
      <c r="K65" s="98">
        <f>-I65*Solar_DCF!$B$7</f>
        <v>7.9908672670825351E-11</v>
      </c>
      <c r="L65" s="124">
        <f>-(K65*Solar_DCF!$B$9)</f>
        <v>0</v>
      </c>
      <c r="M65" s="98">
        <f t="shared" si="9"/>
        <v>-111067.07043316898</v>
      </c>
      <c r="N65" s="98">
        <f t="shared" si="10"/>
        <v>0</v>
      </c>
      <c r="O65" s="98">
        <f t="shared" si="11"/>
        <v>0</v>
      </c>
      <c r="P65" s="98">
        <f t="shared" si="12"/>
        <v>0</v>
      </c>
      <c r="Q65" s="124">
        <f t="shared" si="13"/>
        <v>-111067.07043316898</v>
      </c>
      <c r="R65" s="98">
        <f t="shared" si="14"/>
        <v>0</v>
      </c>
      <c r="S65" s="98">
        <f t="shared" si="15"/>
        <v>0</v>
      </c>
      <c r="T65" s="124">
        <f t="shared" si="16"/>
        <v>0</v>
      </c>
      <c r="U65" s="124">
        <f t="shared" si="17"/>
        <v>-111067.07043316898</v>
      </c>
      <c r="V65" s="68">
        <f t="shared" si="2"/>
        <v>-24171.430553114122</v>
      </c>
      <c r="W65" s="124">
        <f t="shared" si="4"/>
        <v>-1427778.6571025935</v>
      </c>
      <c r="X65" s="124">
        <f t="shared" si="18"/>
        <v>-1538845.7275357624</v>
      </c>
      <c r="Y65" s="124">
        <f>Baseline_DCF!U65</f>
        <v>-2783448.0387385557</v>
      </c>
      <c r="Z65" s="124">
        <f t="shared" si="19"/>
        <v>1244602.3112027934</v>
      </c>
      <c r="AA65" s="68">
        <f t="shared" si="5"/>
        <v>270861.72538948542</v>
      </c>
      <c r="AB65" s="124">
        <f t="shared" si="6"/>
        <v>111067.07043316898</v>
      </c>
      <c r="AC65" s="124">
        <f t="shared" si="7"/>
        <v>1427778.6571025935</v>
      </c>
    </row>
    <row r="66" spans="1:29" ht="14.4" x14ac:dyDescent="0.3">
      <c r="A66" s="35">
        <f t="shared" si="8"/>
        <v>17</v>
      </c>
      <c r="B66" s="44">
        <f>1/(1+Solar_DCF!$B$8)^A66</f>
        <v>0.19784466890013502</v>
      </c>
      <c r="C66" s="36">
        <f>IF(A66&lt;(Solar_DCF!$B$6+1),1,0)</f>
        <v>0</v>
      </c>
      <c r="D66" s="36">
        <f>IF(A66&lt;(Solar_DCF!$B$11+1),1,0)</f>
        <v>0</v>
      </c>
      <c r="E66" s="36">
        <f>IF(A66&lt;(Solar_DCF!$B$12+1),1,0)</f>
        <v>1</v>
      </c>
      <c r="F66" s="98">
        <f xml:space="preserve"> -Solar_DCF!$B$32*D66</f>
        <v>0</v>
      </c>
      <c r="G66" s="124">
        <f>-F66*Solar_DCF!$B$9</f>
        <v>0</v>
      </c>
      <c r="H66" s="124">
        <f>-Solar_DCF!$B$28*C66</f>
        <v>0</v>
      </c>
      <c r="I66" s="98">
        <f t="shared" ref="I66:I89" si="21">J65</f>
        <v>-1.1453576416151635E-9</v>
      </c>
      <c r="J66" s="98">
        <f t="shared" si="3"/>
        <v>-1.2312594647363008E-9</v>
      </c>
      <c r="K66" s="98">
        <f>-I66*Solar_DCF!$B$7</f>
        <v>8.5901823121137261E-11</v>
      </c>
      <c r="L66" s="124">
        <f>-(K66*Solar_DCF!$B$9)</f>
        <v>0</v>
      </c>
      <c r="M66" s="98">
        <f t="shared" si="9"/>
        <v>-113843.74719399819</v>
      </c>
      <c r="N66" s="98">
        <f t="shared" si="10"/>
        <v>0</v>
      </c>
      <c r="O66" s="98">
        <f t="shared" si="11"/>
        <v>0</v>
      </c>
      <c r="P66" s="98">
        <f t="shared" si="12"/>
        <v>0</v>
      </c>
      <c r="Q66" s="124">
        <f t="shared" si="13"/>
        <v>-113843.74719399819</v>
      </c>
      <c r="R66" s="98">
        <f t="shared" si="14"/>
        <v>0</v>
      </c>
      <c r="S66" s="98">
        <f t="shared" si="15"/>
        <v>0</v>
      </c>
      <c r="T66" s="124">
        <f t="shared" si="16"/>
        <v>0</v>
      </c>
      <c r="U66" s="124">
        <f t="shared" si="17"/>
        <v>-113843.74719399819</v>
      </c>
      <c r="V66" s="68">
        <f t="shared" si="2"/>
        <v>-22523.378469947249</v>
      </c>
      <c r="W66" s="124">
        <f t="shared" si="4"/>
        <v>-1463473.1235301581</v>
      </c>
      <c r="X66" s="124">
        <f t="shared" si="18"/>
        <v>-1577316.8707241563</v>
      </c>
      <c r="Y66" s="124">
        <f>Baseline_DCF!U66</f>
        <v>-2853034.2397070192</v>
      </c>
      <c r="Z66" s="124">
        <f t="shared" si="19"/>
        <v>1275717.3689828629</v>
      </c>
      <c r="AA66" s="68">
        <f t="shared" si="5"/>
        <v>252393.88047656589</v>
      </c>
      <c r="AB66" s="124">
        <f t="shared" si="6"/>
        <v>113843.74719399819</v>
      </c>
      <c r="AC66" s="124">
        <f t="shared" si="7"/>
        <v>1463473.1235301581</v>
      </c>
    </row>
    <row r="67" spans="1:29" ht="14.4" x14ac:dyDescent="0.3">
      <c r="A67" s="35">
        <f t="shared" si="8"/>
        <v>18</v>
      </c>
      <c r="B67" s="44">
        <f>1/(1+Solar_DCF!$B$8)^A67</f>
        <v>0.17985878990921364</v>
      </c>
      <c r="C67" s="36">
        <f>IF(A67&lt;(Solar_DCF!$B$6+1),1,0)</f>
        <v>0</v>
      </c>
      <c r="D67" s="36">
        <f>IF(A67&lt;(Solar_DCF!$B$11+1),1,0)</f>
        <v>0</v>
      </c>
      <c r="E67" s="36">
        <f>IF(A67&lt;(Solar_DCF!$B$12+1),1,0)</f>
        <v>1</v>
      </c>
      <c r="F67" s="98">
        <f xml:space="preserve"> -Solar_DCF!$B$32*D67</f>
        <v>0</v>
      </c>
      <c r="G67" s="124">
        <f>-F67*Solar_DCF!$B$9</f>
        <v>0</v>
      </c>
      <c r="H67" s="124">
        <f>-Solar_DCF!$B$28*C67</f>
        <v>0</v>
      </c>
      <c r="I67" s="98">
        <f t="shared" si="21"/>
        <v>-1.2312594647363008E-9</v>
      </c>
      <c r="J67" s="98">
        <f t="shared" si="3"/>
        <v>-1.3236039245915234E-9</v>
      </c>
      <c r="K67" s="98">
        <f>-I67*Solar_DCF!$B$7</f>
        <v>9.2344459855222549E-11</v>
      </c>
      <c r="L67" s="124">
        <f>-(K67*Solar_DCF!$B$9)</f>
        <v>0</v>
      </c>
      <c r="M67" s="98">
        <f t="shared" si="9"/>
        <v>-116689.84087384815</v>
      </c>
      <c r="N67" s="98">
        <f t="shared" si="10"/>
        <v>0</v>
      </c>
      <c r="O67" s="98">
        <f t="shared" si="11"/>
        <v>0</v>
      </c>
      <c r="P67" s="98">
        <f t="shared" si="12"/>
        <v>0</v>
      </c>
      <c r="Q67" s="124">
        <f t="shared" si="13"/>
        <v>-116689.84087384815</v>
      </c>
      <c r="R67" s="98">
        <f t="shared" si="14"/>
        <v>0</v>
      </c>
      <c r="S67" s="98">
        <f t="shared" si="15"/>
        <v>0</v>
      </c>
      <c r="T67" s="124">
        <f t="shared" si="16"/>
        <v>0</v>
      </c>
      <c r="U67" s="124">
        <f t="shared" si="17"/>
        <v>-116689.84087384815</v>
      </c>
      <c r="V67" s="68">
        <f t="shared" si="2"/>
        <v>-20987.693574269026</v>
      </c>
      <c r="W67" s="124">
        <f t="shared" si="4"/>
        <v>-1500059.951618412</v>
      </c>
      <c r="X67" s="124">
        <f t="shared" si="18"/>
        <v>-1616749.7924922602</v>
      </c>
      <c r="Y67" s="124">
        <f>Baseline_DCF!U67</f>
        <v>-2924360.0956996949</v>
      </c>
      <c r="Z67" s="124">
        <f t="shared" si="19"/>
        <v>1307610.3032074347</v>
      </c>
      <c r="AA67" s="68">
        <f t="shared" si="5"/>
        <v>235185.20680770915</v>
      </c>
      <c r="AB67" s="124">
        <f t="shared" si="6"/>
        <v>116689.84087384815</v>
      </c>
      <c r="AC67" s="124">
        <f t="shared" si="7"/>
        <v>1500059.951618412</v>
      </c>
    </row>
    <row r="68" spans="1:29" ht="14.4" x14ac:dyDescent="0.3">
      <c r="A68" s="35">
        <f t="shared" si="8"/>
        <v>19</v>
      </c>
      <c r="B68" s="44">
        <f>1/(1+Solar_DCF!$B$8)^A68</f>
        <v>0.16350799082655781</v>
      </c>
      <c r="C68" s="36">
        <f>IF(A68&lt;(Solar_DCF!$B$6+1),1,0)</f>
        <v>0</v>
      </c>
      <c r="D68" s="36">
        <f>IF(A68&lt;(Solar_DCF!$B$11+1),1,0)</f>
        <v>0</v>
      </c>
      <c r="E68" s="36">
        <f>IF(A68&lt;(Solar_DCF!$B$12+1),1,0)</f>
        <v>1</v>
      </c>
      <c r="F68" s="98">
        <f xml:space="preserve"> -Solar_DCF!$B$32*D68</f>
        <v>0</v>
      </c>
      <c r="G68" s="124">
        <f>-F68*Solar_DCF!$B$9</f>
        <v>0</v>
      </c>
      <c r="H68" s="124">
        <f>-Solar_DCF!$B$28*C68</f>
        <v>0</v>
      </c>
      <c r="I68" s="98">
        <f t="shared" si="21"/>
        <v>-1.3236039245915234E-9</v>
      </c>
      <c r="J68" s="98">
        <f t="shared" si="3"/>
        <v>-1.4228742189358876E-9</v>
      </c>
      <c r="K68" s="98">
        <f>-I68*Solar_DCF!$B$7</f>
        <v>9.9270294344364257E-11</v>
      </c>
      <c r="L68" s="124">
        <f>-(K68*Solar_DCF!$B$9)</f>
        <v>0</v>
      </c>
      <c r="M68" s="98">
        <f t="shared" si="9"/>
        <v>-119607.08689569436</v>
      </c>
      <c r="N68" s="98">
        <f t="shared" si="10"/>
        <v>0</v>
      </c>
      <c r="O68" s="98">
        <f t="shared" si="11"/>
        <v>0</v>
      </c>
      <c r="P68" s="98">
        <f t="shared" si="12"/>
        <v>0</v>
      </c>
      <c r="Q68" s="124">
        <f t="shared" si="13"/>
        <v>-119607.08689569436</v>
      </c>
      <c r="R68" s="98">
        <f t="shared" si="14"/>
        <v>0</v>
      </c>
      <c r="S68" s="98">
        <f t="shared" si="15"/>
        <v>0</v>
      </c>
      <c r="T68" s="124">
        <f t="shared" si="16"/>
        <v>0</v>
      </c>
      <c r="U68" s="124">
        <f t="shared" si="17"/>
        <v>-119607.08689569436</v>
      </c>
      <c r="V68" s="68">
        <f t="shared" si="2"/>
        <v>-19556.714466932495</v>
      </c>
      <c r="W68" s="124">
        <f t="shared" si="4"/>
        <v>-1537561.4504088724</v>
      </c>
      <c r="X68" s="124">
        <f t="shared" si="18"/>
        <v>-1657168.5373045667</v>
      </c>
      <c r="Y68" s="124">
        <f>Baseline_DCF!U68</f>
        <v>-2997469.0980921872</v>
      </c>
      <c r="Z68" s="124">
        <f t="shared" si="19"/>
        <v>1340300.5607876205</v>
      </c>
      <c r="AA68" s="68">
        <f t="shared" si="5"/>
        <v>219149.85179809254</v>
      </c>
      <c r="AB68" s="124">
        <f t="shared" si="6"/>
        <v>119607.08689569436</v>
      </c>
      <c r="AC68" s="124">
        <f t="shared" si="7"/>
        <v>1537561.4504088724</v>
      </c>
    </row>
    <row r="69" spans="1:29" ht="14.4" x14ac:dyDescent="0.3">
      <c r="A69" s="35">
        <f t="shared" si="8"/>
        <v>20</v>
      </c>
      <c r="B69" s="44">
        <f>1/(1+Solar_DCF!$B$8)^A69</f>
        <v>0.14864362802414349</v>
      </c>
      <c r="C69" s="36">
        <f>IF(A69&lt;(Solar_DCF!$B$6+1),1,0)</f>
        <v>0</v>
      </c>
      <c r="D69" s="36">
        <f>IF(A69&lt;(Solar_DCF!$B$11+1),1,0)</f>
        <v>0</v>
      </c>
      <c r="E69" s="36">
        <f>IF(A69&lt;(Solar_DCF!$B$12+1),1,0)</f>
        <v>1</v>
      </c>
      <c r="F69" s="98">
        <f xml:space="preserve"> -Solar_DCF!$B$32*D69</f>
        <v>0</v>
      </c>
      <c r="G69" s="124">
        <f>-F69*Solar_DCF!$B$9</f>
        <v>0</v>
      </c>
      <c r="H69" s="124">
        <f>-Solar_DCF!$B$28*C69</f>
        <v>0</v>
      </c>
      <c r="I69" s="98">
        <f t="shared" si="21"/>
        <v>-1.4228742189358876E-9</v>
      </c>
      <c r="J69" s="98">
        <f t="shared" si="3"/>
        <v>-1.5295897853560792E-9</v>
      </c>
      <c r="K69" s="98">
        <f>-I69*Solar_DCF!$B$7</f>
        <v>1.0671556642019156E-10</v>
      </c>
      <c r="L69" s="124">
        <f>-(K69*Solar_DCF!$B$9)</f>
        <v>0</v>
      </c>
      <c r="M69" s="98">
        <f t="shared" si="9"/>
        <v>-122597.2640680867</v>
      </c>
      <c r="N69" s="98">
        <f t="shared" si="10"/>
        <v>0</v>
      </c>
      <c r="O69" s="98">
        <f t="shared" si="11"/>
        <v>0</v>
      </c>
      <c r="P69" s="98">
        <f t="shared" si="12"/>
        <v>0</v>
      </c>
      <c r="Q69" s="124">
        <f t="shared" si="13"/>
        <v>-122597.2640680867</v>
      </c>
      <c r="R69" s="98">
        <f t="shared" si="14"/>
        <v>0</v>
      </c>
      <c r="S69" s="98">
        <f t="shared" si="15"/>
        <v>0</v>
      </c>
      <c r="T69" s="124">
        <f t="shared" si="16"/>
        <v>0</v>
      </c>
      <c r="U69" s="124">
        <f t="shared" si="17"/>
        <v>64446.605768773981</v>
      </c>
      <c r="V69" s="68">
        <f t="shared" si="2"/>
        <v>9579.5772953122596</v>
      </c>
      <c r="W69" s="124">
        <f t="shared" si="4"/>
        <v>-1515282.2293052853</v>
      </c>
      <c r="X69" s="124">
        <f t="shared" si="18"/>
        <v>-1450835.6235365113</v>
      </c>
      <c r="Y69" s="124">
        <f>Baseline_DCF!U69</f>
        <v>-3072405.8255444919</v>
      </c>
      <c r="Z69" s="124">
        <f t="shared" si="19"/>
        <v>1621570.2020079806</v>
      </c>
      <c r="AA69" s="68">
        <f t="shared" si="5"/>
        <v>241036.07792230949</v>
      </c>
      <c r="AB69" s="124">
        <f t="shared" si="6"/>
        <v>-64446.605768773981</v>
      </c>
      <c r="AC69" s="124">
        <f t="shared" si="7"/>
        <v>1515282.2293052853</v>
      </c>
    </row>
    <row r="70" spans="1:29" ht="14.4" x14ac:dyDescent="0.3">
      <c r="A70" s="35">
        <f t="shared" si="8"/>
        <v>21</v>
      </c>
      <c r="B70" s="44">
        <f>1/(1+Solar_DCF!$B$8)^A70</f>
        <v>0.13513057093103953</v>
      </c>
      <c r="C70" s="36">
        <f>IF(A70&lt;(Solar_DCF!$B$6+1),1,0)</f>
        <v>0</v>
      </c>
      <c r="D70" s="36">
        <f>IF(A70&lt;(Solar_DCF!$B$11+1),1,0)</f>
        <v>0</v>
      </c>
      <c r="E70" s="36">
        <f>IF(A70&lt;(Solar_DCF!$B$12+1),1,0)</f>
        <v>0</v>
      </c>
      <c r="F70" s="98">
        <f xml:space="preserve"> -Solar_DCF!$B$32*D70</f>
        <v>0</v>
      </c>
      <c r="G70" s="124">
        <f>-F70*Solar_DCF!$B$9</f>
        <v>0</v>
      </c>
      <c r="H70" s="124">
        <f>-Solar_DCF!$B$28*C70</f>
        <v>0</v>
      </c>
      <c r="I70" s="98">
        <f t="shared" si="21"/>
        <v>-1.5295897853560792E-9</v>
      </c>
      <c r="J70" s="98">
        <f t="shared" si="3"/>
        <v>-1.6443090192577852E-9</v>
      </c>
      <c r="K70" s="98">
        <f>-I70*Solar_DCF!$B$7</f>
        <v>1.1471923390170594E-10</v>
      </c>
      <c r="L70" s="124">
        <f>-(K70*Solar_DCF!$B$9)</f>
        <v>0</v>
      </c>
      <c r="M70" s="98">
        <f t="shared" si="9"/>
        <v>0</v>
      </c>
      <c r="N70" s="98">
        <f t="shared" si="10"/>
        <v>0</v>
      </c>
      <c r="O70" s="98">
        <f t="shared" si="11"/>
        <v>0</v>
      </c>
      <c r="P70" s="98">
        <f t="shared" si="12"/>
        <v>0</v>
      </c>
      <c r="Q70" s="124">
        <f t="shared" si="13"/>
        <v>0</v>
      </c>
      <c r="R70" s="98">
        <f t="shared" si="14"/>
        <v>0</v>
      </c>
      <c r="S70" s="98">
        <f t="shared" si="15"/>
        <v>0</v>
      </c>
      <c r="T70" s="124">
        <f t="shared" si="16"/>
        <v>0</v>
      </c>
      <c r="U70" s="124">
        <f t="shared" si="17"/>
        <v>0</v>
      </c>
      <c r="V70" s="68">
        <f t="shared" si="2"/>
        <v>0</v>
      </c>
      <c r="W70" s="124">
        <f t="shared" si="4"/>
        <v>0</v>
      </c>
      <c r="X70" s="124">
        <f t="shared" si="18"/>
        <v>0</v>
      </c>
      <c r="Y70" s="124">
        <f>Baseline_DCF!U70</f>
        <v>0</v>
      </c>
      <c r="Z70" s="124">
        <f t="shared" si="19"/>
        <v>0</v>
      </c>
      <c r="AA70" s="68">
        <f t="shared" si="5"/>
        <v>0</v>
      </c>
      <c r="AB70" s="124">
        <f t="shared" si="6"/>
        <v>0</v>
      </c>
      <c r="AC70" s="124">
        <f t="shared" si="7"/>
        <v>0</v>
      </c>
    </row>
    <row r="71" spans="1:29" ht="14.4" x14ac:dyDescent="0.3">
      <c r="A71" s="35">
        <f t="shared" si="8"/>
        <v>22</v>
      </c>
      <c r="B71" s="44">
        <f>1/(1+Solar_DCF!$B$8)^A71</f>
        <v>0.12284597357367227</v>
      </c>
      <c r="C71" s="36">
        <f>IF(A71&lt;(Solar_DCF!$B$6+1),1,0)</f>
        <v>0</v>
      </c>
      <c r="D71" s="36">
        <f>IF(A71&lt;(Solar_DCF!$B$11+1),1,0)</f>
        <v>0</v>
      </c>
      <c r="E71" s="36">
        <f>IF(A71&lt;(Solar_DCF!$B$12+1),1,0)</f>
        <v>0</v>
      </c>
      <c r="F71" s="98">
        <f xml:space="preserve"> -Solar_DCF!$B$32*D71</f>
        <v>0</v>
      </c>
      <c r="G71" s="124">
        <f>-F71*Solar_DCF!$B$9</f>
        <v>0</v>
      </c>
      <c r="H71" s="124">
        <f>-Solar_DCF!$B$28*C71</f>
        <v>0</v>
      </c>
      <c r="I71" s="98">
        <f t="shared" si="21"/>
        <v>-1.6443090192577852E-9</v>
      </c>
      <c r="J71" s="98">
        <f t="shared" si="3"/>
        <v>-1.7676321957021192E-9</v>
      </c>
      <c r="K71" s="98">
        <f>-I71*Solar_DCF!$B$7</f>
        <v>1.2332317644433389E-10</v>
      </c>
      <c r="L71" s="124">
        <f>-(K71*Solar_DCF!$B$9)</f>
        <v>0</v>
      </c>
      <c r="M71" s="98">
        <f t="shared" si="9"/>
        <v>0</v>
      </c>
      <c r="N71" s="98">
        <f t="shared" si="10"/>
        <v>0</v>
      </c>
      <c r="O71" s="98">
        <f t="shared" si="11"/>
        <v>0</v>
      </c>
      <c r="P71" s="98">
        <f t="shared" si="12"/>
        <v>0</v>
      </c>
      <c r="Q71" s="124">
        <f t="shared" si="13"/>
        <v>0</v>
      </c>
      <c r="R71" s="98">
        <f t="shared" si="14"/>
        <v>0</v>
      </c>
      <c r="S71" s="98">
        <f t="shared" si="15"/>
        <v>0</v>
      </c>
      <c r="T71" s="124">
        <f t="shared" si="16"/>
        <v>0</v>
      </c>
      <c r="U71" s="124">
        <f t="shared" si="17"/>
        <v>0</v>
      </c>
      <c r="V71" s="68">
        <f t="shared" si="2"/>
        <v>0</v>
      </c>
      <c r="W71" s="124">
        <f t="shared" si="4"/>
        <v>0</v>
      </c>
      <c r="X71" s="124">
        <f t="shared" si="18"/>
        <v>0</v>
      </c>
      <c r="Y71" s="124">
        <f>Baseline_DCF!U71</f>
        <v>0</v>
      </c>
      <c r="Z71" s="124">
        <f t="shared" si="19"/>
        <v>0</v>
      </c>
      <c r="AA71" s="68">
        <f t="shared" si="5"/>
        <v>0</v>
      </c>
      <c r="AB71" s="124">
        <f t="shared" si="6"/>
        <v>0</v>
      </c>
      <c r="AC71" s="124">
        <f t="shared" si="7"/>
        <v>0</v>
      </c>
    </row>
    <row r="72" spans="1:29" ht="14.4" x14ac:dyDescent="0.3">
      <c r="A72" s="35">
        <f t="shared" si="8"/>
        <v>23</v>
      </c>
      <c r="B72" s="44">
        <f>1/(1+Solar_DCF!$B$8)^A72</f>
        <v>0.11167815779424752</v>
      </c>
      <c r="C72" s="36">
        <f>IF(A72&lt;(Solar_DCF!$B$6+1),1,0)</f>
        <v>0</v>
      </c>
      <c r="D72" s="36">
        <f>IF(A72&lt;(Solar_DCF!$B$11+1),1,0)</f>
        <v>0</v>
      </c>
      <c r="E72" s="36">
        <f>IF(A72&lt;(Solar_DCF!$B$12+1),1,0)</f>
        <v>0</v>
      </c>
      <c r="F72" s="98">
        <f xml:space="preserve"> -Solar_DCF!$B$32*D72</f>
        <v>0</v>
      </c>
      <c r="G72" s="124">
        <f>-F72*Solar_DCF!$B$9</f>
        <v>0</v>
      </c>
      <c r="H72" s="124">
        <f>-Solar_DCF!$B$28*C72</f>
        <v>0</v>
      </c>
      <c r="I72" s="98">
        <f t="shared" si="21"/>
        <v>-1.7676321957021192E-9</v>
      </c>
      <c r="J72" s="98">
        <f t="shared" si="3"/>
        <v>-1.9002046103797782E-9</v>
      </c>
      <c r="K72" s="98">
        <f>-I72*Solar_DCF!$B$7</f>
        <v>1.3257241467765893E-10</v>
      </c>
      <c r="L72" s="124">
        <f>-(K72*Solar_DCF!$B$9)</f>
        <v>0</v>
      </c>
      <c r="M72" s="98">
        <f t="shared" si="9"/>
        <v>0</v>
      </c>
      <c r="N72" s="98">
        <f t="shared" si="10"/>
        <v>0</v>
      </c>
      <c r="O72" s="98">
        <f t="shared" si="11"/>
        <v>0</v>
      </c>
      <c r="P72" s="98">
        <f t="shared" si="12"/>
        <v>0</v>
      </c>
      <c r="Q72" s="124">
        <f t="shared" si="13"/>
        <v>0</v>
      </c>
      <c r="R72" s="98">
        <f t="shared" si="14"/>
        <v>0</v>
      </c>
      <c r="S72" s="98">
        <f t="shared" si="15"/>
        <v>0</v>
      </c>
      <c r="T72" s="124">
        <f t="shared" si="16"/>
        <v>0</v>
      </c>
      <c r="U72" s="124">
        <f t="shared" si="17"/>
        <v>0</v>
      </c>
      <c r="V72" s="68">
        <f t="shared" si="2"/>
        <v>0</v>
      </c>
      <c r="W72" s="124">
        <f t="shared" si="4"/>
        <v>0</v>
      </c>
      <c r="X72" s="124">
        <f t="shared" si="18"/>
        <v>0</v>
      </c>
      <c r="Y72" s="124">
        <f>Baseline_DCF!U72</f>
        <v>0</v>
      </c>
      <c r="Z72" s="124">
        <f t="shared" si="19"/>
        <v>0</v>
      </c>
      <c r="AA72" s="68">
        <f t="shared" si="5"/>
        <v>0</v>
      </c>
      <c r="AB72" s="124">
        <f t="shared" si="6"/>
        <v>0</v>
      </c>
      <c r="AC72" s="124">
        <f t="shared" si="7"/>
        <v>0</v>
      </c>
    </row>
    <row r="73" spans="1:29" ht="14.4" x14ac:dyDescent="0.3">
      <c r="A73" s="35">
        <f t="shared" si="8"/>
        <v>24</v>
      </c>
      <c r="B73" s="44">
        <f>1/(1+Solar_DCF!$B$8)^A73</f>
        <v>0.10152559799477048</v>
      </c>
      <c r="C73" s="36">
        <f>IF(A73&lt;(Solar_DCF!$B$6+1),1,0)</f>
        <v>0</v>
      </c>
      <c r="D73" s="36">
        <f>IF(A73&lt;(Solar_DCF!$B$11+1),1,0)</f>
        <v>0</v>
      </c>
      <c r="E73" s="36">
        <f>IF(A73&lt;(Solar_DCF!$B$12+1),1,0)</f>
        <v>0</v>
      </c>
      <c r="F73" s="98">
        <f xml:space="preserve"> -Solar_DCF!$B$32*D73</f>
        <v>0</v>
      </c>
      <c r="G73" s="124">
        <f>-F73*Solar_DCF!$B$9</f>
        <v>0</v>
      </c>
      <c r="H73" s="124">
        <f>-Solar_DCF!$B$28*C73</f>
        <v>0</v>
      </c>
      <c r="I73" s="98">
        <f t="shared" si="21"/>
        <v>-1.9002046103797782E-9</v>
      </c>
      <c r="J73" s="98">
        <f t="shared" si="3"/>
        <v>-2.0427199561582618E-9</v>
      </c>
      <c r="K73" s="98">
        <f>-I73*Solar_DCF!$B$7</f>
        <v>1.4251534577848336E-10</v>
      </c>
      <c r="L73" s="124">
        <f>-(K73*Solar_DCF!$B$9)</f>
        <v>0</v>
      </c>
      <c r="M73" s="98">
        <f t="shared" si="9"/>
        <v>0</v>
      </c>
      <c r="N73" s="98">
        <f t="shared" si="10"/>
        <v>0</v>
      </c>
      <c r="O73" s="98">
        <f t="shared" si="11"/>
        <v>0</v>
      </c>
      <c r="P73" s="98">
        <f t="shared" si="12"/>
        <v>0</v>
      </c>
      <c r="Q73" s="124">
        <f t="shared" si="13"/>
        <v>0</v>
      </c>
      <c r="R73" s="98">
        <f t="shared" si="14"/>
        <v>0</v>
      </c>
      <c r="S73" s="98">
        <f t="shared" si="15"/>
        <v>0</v>
      </c>
      <c r="T73" s="124">
        <f t="shared" si="16"/>
        <v>0</v>
      </c>
      <c r="U73" s="124">
        <f t="shared" si="17"/>
        <v>0</v>
      </c>
      <c r="V73" s="68">
        <f t="shared" si="2"/>
        <v>0</v>
      </c>
      <c r="W73" s="124">
        <f t="shared" si="4"/>
        <v>0</v>
      </c>
      <c r="X73" s="124">
        <f t="shared" si="18"/>
        <v>0</v>
      </c>
      <c r="Y73" s="124">
        <f>Baseline_DCF!U73</f>
        <v>0</v>
      </c>
      <c r="Z73" s="124">
        <f t="shared" si="19"/>
        <v>0</v>
      </c>
      <c r="AA73" s="68">
        <f t="shared" si="5"/>
        <v>0</v>
      </c>
      <c r="AB73" s="124">
        <f t="shared" si="6"/>
        <v>0</v>
      </c>
      <c r="AC73" s="124">
        <f t="shared" si="7"/>
        <v>0</v>
      </c>
    </row>
    <row r="74" spans="1:29" ht="14.4" x14ac:dyDescent="0.3">
      <c r="A74" s="35">
        <f t="shared" si="8"/>
        <v>25</v>
      </c>
      <c r="B74" s="44">
        <f>1/(1+Solar_DCF!$B$8)^A74</f>
        <v>9.2295998177064048E-2</v>
      </c>
      <c r="C74" s="36">
        <f>IF(A74&lt;(Solar_DCF!$B$6+1),1,0)</f>
        <v>0</v>
      </c>
      <c r="D74" s="36">
        <f>IF(A74&lt;(Solar_DCF!$B$11+1),1,0)</f>
        <v>0</v>
      </c>
      <c r="E74" s="36">
        <f>IF(A74&lt;(Solar_DCF!$B$12+1),1,0)</f>
        <v>0</v>
      </c>
      <c r="F74" s="98">
        <f xml:space="preserve"> -Solar_DCF!$B$32*D74</f>
        <v>0</v>
      </c>
      <c r="G74" s="124">
        <f>-F74*Solar_DCF!$B$9</f>
        <v>0</v>
      </c>
      <c r="H74" s="124">
        <f>-Solar_DCF!$B$28*C74</f>
        <v>0</v>
      </c>
      <c r="I74" s="98">
        <f t="shared" si="21"/>
        <v>-2.0427199561582618E-9</v>
      </c>
      <c r="J74" s="98">
        <f t="shared" si="3"/>
        <v>-2.1959239528701315E-9</v>
      </c>
      <c r="K74" s="98">
        <f>-I74*Solar_DCF!$B$7</f>
        <v>1.5320399671186962E-10</v>
      </c>
      <c r="L74" s="124">
        <f>-(K74*Solar_DCF!$B$9)</f>
        <v>0</v>
      </c>
      <c r="M74" s="98">
        <f t="shared" si="9"/>
        <v>0</v>
      </c>
      <c r="N74" s="98">
        <f t="shared" si="10"/>
        <v>0</v>
      </c>
      <c r="O74" s="98">
        <f t="shared" si="11"/>
        <v>0</v>
      </c>
      <c r="P74" s="98">
        <f t="shared" si="12"/>
        <v>0</v>
      </c>
      <c r="Q74" s="124">
        <f t="shared" si="13"/>
        <v>0</v>
      </c>
      <c r="R74" s="98">
        <f t="shared" si="14"/>
        <v>0</v>
      </c>
      <c r="S74" s="98">
        <f t="shared" si="15"/>
        <v>0</v>
      </c>
      <c r="T74" s="124">
        <f t="shared" si="16"/>
        <v>0</v>
      </c>
      <c r="U74" s="124">
        <f t="shared" si="17"/>
        <v>0</v>
      </c>
      <c r="V74" s="68">
        <f t="shared" si="2"/>
        <v>0</v>
      </c>
      <c r="W74" s="124">
        <f t="shared" si="4"/>
        <v>0</v>
      </c>
      <c r="X74" s="124">
        <f t="shared" si="18"/>
        <v>0</v>
      </c>
      <c r="Y74" s="124">
        <f>Baseline_DCF!U74</f>
        <v>0</v>
      </c>
      <c r="Z74" s="124">
        <f t="shared" si="19"/>
        <v>0</v>
      </c>
      <c r="AA74" s="68">
        <f t="shared" si="5"/>
        <v>0</v>
      </c>
      <c r="AB74" s="124">
        <f t="shared" si="6"/>
        <v>0</v>
      </c>
      <c r="AC74" s="124">
        <f t="shared" si="7"/>
        <v>0</v>
      </c>
    </row>
    <row r="75" spans="1:29" ht="14.4" x14ac:dyDescent="0.3">
      <c r="A75" s="35">
        <f t="shared" si="8"/>
        <v>26</v>
      </c>
      <c r="B75" s="44">
        <f>1/(1+Solar_DCF!$B$8)^A75</f>
        <v>8.3905452888240042E-2</v>
      </c>
      <c r="C75" s="36">
        <f>IF(A75&lt;(Solar_DCF!$B$6+1),1,0)</f>
        <v>0</v>
      </c>
      <c r="D75" s="36">
        <f>IF(A75&lt;(Solar_DCF!$B$11+1),1,0)</f>
        <v>0</v>
      </c>
      <c r="E75" s="36">
        <f>IF(A75&lt;(Solar_DCF!$B$12+1),1,0)</f>
        <v>0</v>
      </c>
      <c r="F75" s="98">
        <f xml:space="preserve"> -Solar_DCF!$B$32*D75</f>
        <v>0</v>
      </c>
      <c r="G75" s="124">
        <f>-F75*Solar_DCF!$B$9</f>
        <v>0</v>
      </c>
      <c r="H75" s="124">
        <f>-Solar_DCF!$B$28*C75</f>
        <v>0</v>
      </c>
      <c r="I75" s="98">
        <f t="shared" si="21"/>
        <v>-2.1959239528701315E-9</v>
      </c>
      <c r="J75" s="98">
        <f t="shared" si="3"/>
        <v>-2.3606182493353913E-9</v>
      </c>
      <c r="K75" s="98">
        <f>-I75*Solar_DCF!$B$7</f>
        <v>1.6469429646525986E-10</v>
      </c>
      <c r="L75" s="124">
        <f>-(K75*Solar_DCF!$B$9)</f>
        <v>0</v>
      </c>
      <c r="M75" s="98">
        <f t="shared" si="9"/>
        <v>0</v>
      </c>
      <c r="N75" s="98">
        <f t="shared" si="10"/>
        <v>0</v>
      </c>
      <c r="O75" s="98">
        <f t="shared" si="11"/>
        <v>0</v>
      </c>
      <c r="P75" s="98">
        <f t="shared" si="12"/>
        <v>0</v>
      </c>
      <c r="Q75" s="124">
        <f t="shared" si="13"/>
        <v>0</v>
      </c>
      <c r="R75" s="98">
        <f t="shared" si="14"/>
        <v>0</v>
      </c>
      <c r="S75" s="98">
        <f t="shared" si="15"/>
        <v>0</v>
      </c>
      <c r="T75" s="124">
        <f t="shared" si="16"/>
        <v>0</v>
      </c>
      <c r="U75" s="124">
        <f t="shared" si="17"/>
        <v>0</v>
      </c>
      <c r="V75" s="68">
        <f t="shared" si="2"/>
        <v>0</v>
      </c>
      <c r="W75" s="124">
        <f t="shared" si="4"/>
        <v>0</v>
      </c>
      <c r="X75" s="124">
        <f t="shared" si="18"/>
        <v>0</v>
      </c>
      <c r="Y75" s="124">
        <f>Baseline_DCF!U75</f>
        <v>0</v>
      </c>
      <c r="Z75" s="124">
        <f t="shared" si="19"/>
        <v>0</v>
      </c>
      <c r="AA75" s="68">
        <f t="shared" si="5"/>
        <v>0</v>
      </c>
      <c r="AB75" s="124">
        <f t="shared" si="6"/>
        <v>0</v>
      </c>
      <c r="AC75" s="124">
        <f t="shared" si="7"/>
        <v>0</v>
      </c>
    </row>
    <row r="76" spans="1:29" ht="14.4" x14ac:dyDescent="0.3">
      <c r="A76" s="35">
        <f t="shared" si="8"/>
        <v>27</v>
      </c>
      <c r="B76" s="44">
        <f>1/(1+Solar_DCF!$B$8)^A76</f>
        <v>7.6277684443854576E-2</v>
      </c>
      <c r="C76" s="36">
        <f>IF(A76&lt;(Solar_DCF!$B$6+1),1,0)</f>
        <v>0</v>
      </c>
      <c r="D76" s="36">
        <f>IF(A76&lt;(Solar_DCF!$B$11+1),1,0)</f>
        <v>0</v>
      </c>
      <c r="E76" s="36">
        <f>IF(A76&lt;(Solar_DCF!$B$12+1),1,0)</f>
        <v>0</v>
      </c>
      <c r="F76" s="98">
        <f xml:space="preserve"> -Solar_DCF!$B$32*D76</f>
        <v>0</v>
      </c>
      <c r="G76" s="124">
        <f>-F76*Solar_DCF!$B$9</f>
        <v>0</v>
      </c>
      <c r="H76" s="124">
        <f>-Solar_DCF!$B$28*C76</f>
        <v>0</v>
      </c>
      <c r="I76" s="98">
        <f t="shared" si="21"/>
        <v>-2.3606182493353913E-9</v>
      </c>
      <c r="J76" s="98">
        <f t="shared" si="3"/>
        <v>-2.5376646180355457E-9</v>
      </c>
      <c r="K76" s="98">
        <f>-I76*Solar_DCF!$B$7</f>
        <v>1.7704636870015433E-10</v>
      </c>
      <c r="L76" s="124">
        <f>-(K76*Solar_DCF!$B$9)</f>
        <v>0</v>
      </c>
      <c r="M76" s="98">
        <f t="shared" si="9"/>
        <v>0</v>
      </c>
      <c r="N76" s="98">
        <f t="shared" si="10"/>
        <v>0</v>
      </c>
      <c r="O76" s="98">
        <f t="shared" si="11"/>
        <v>0</v>
      </c>
      <c r="P76" s="98">
        <f t="shared" si="12"/>
        <v>0</v>
      </c>
      <c r="Q76" s="124">
        <f t="shared" si="13"/>
        <v>0</v>
      </c>
      <c r="R76" s="98">
        <f t="shared" si="14"/>
        <v>0</v>
      </c>
      <c r="S76" s="98">
        <f t="shared" si="15"/>
        <v>0</v>
      </c>
      <c r="T76" s="124">
        <f t="shared" si="16"/>
        <v>0</v>
      </c>
      <c r="U76" s="124">
        <f t="shared" si="17"/>
        <v>0</v>
      </c>
      <c r="V76" s="68">
        <f t="shared" si="2"/>
        <v>0</v>
      </c>
      <c r="W76" s="124">
        <f t="shared" si="4"/>
        <v>0</v>
      </c>
      <c r="X76" s="124">
        <f t="shared" si="18"/>
        <v>0</v>
      </c>
      <c r="Y76" s="124">
        <f>Baseline_DCF!U76</f>
        <v>0</v>
      </c>
      <c r="Z76" s="124">
        <f t="shared" si="19"/>
        <v>0</v>
      </c>
      <c r="AA76" s="68">
        <f t="shared" si="5"/>
        <v>0</v>
      </c>
      <c r="AB76" s="124">
        <f t="shared" si="6"/>
        <v>0</v>
      </c>
      <c r="AC76" s="124">
        <f t="shared" si="7"/>
        <v>0</v>
      </c>
    </row>
    <row r="77" spans="1:29" ht="14.4" x14ac:dyDescent="0.3">
      <c r="A77" s="35">
        <f t="shared" si="8"/>
        <v>28</v>
      </c>
      <c r="B77" s="44">
        <f>1/(1+Solar_DCF!$B$8)^A77</f>
        <v>6.9343349494413245E-2</v>
      </c>
      <c r="C77" s="36">
        <f>IF(A77&lt;(Solar_DCF!$B$6+1),1,0)</f>
        <v>0</v>
      </c>
      <c r="D77" s="36">
        <f>IF(A77&lt;(Solar_DCF!$B$11+1),1,0)</f>
        <v>0</v>
      </c>
      <c r="E77" s="36">
        <f>IF(A77&lt;(Solar_DCF!$B$12+1),1,0)</f>
        <v>0</v>
      </c>
      <c r="F77" s="98">
        <f xml:space="preserve"> -Solar_DCF!$B$32*D77</f>
        <v>0</v>
      </c>
      <c r="G77" s="124">
        <f>-F77*Solar_DCF!$B$9</f>
        <v>0</v>
      </c>
      <c r="H77" s="124">
        <f>-Solar_DCF!$B$28*C77</f>
        <v>0</v>
      </c>
      <c r="I77" s="98">
        <f t="shared" si="21"/>
        <v>-2.5376646180355457E-9</v>
      </c>
      <c r="J77" s="98">
        <f t="shared" si="3"/>
        <v>-2.7279894643882116E-9</v>
      </c>
      <c r="K77" s="98">
        <f>-I77*Solar_DCF!$B$7</f>
        <v>1.9032484635266593E-10</v>
      </c>
      <c r="L77" s="124">
        <f>-(K77*Solar_DCF!$B$9)</f>
        <v>0</v>
      </c>
      <c r="M77" s="98">
        <f t="shared" si="9"/>
        <v>0</v>
      </c>
      <c r="N77" s="98">
        <f t="shared" si="10"/>
        <v>0</v>
      </c>
      <c r="O77" s="98">
        <f t="shared" si="11"/>
        <v>0</v>
      </c>
      <c r="P77" s="98">
        <f t="shared" si="12"/>
        <v>0</v>
      </c>
      <c r="Q77" s="124">
        <f t="shared" si="13"/>
        <v>0</v>
      </c>
      <c r="R77" s="98">
        <f t="shared" si="14"/>
        <v>0</v>
      </c>
      <c r="S77" s="98">
        <f t="shared" si="15"/>
        <v>0</v>
      </c>
      <c r="T77" s="124">
        <f t="shared" si="16"/>
        <v>0</v>
      </c>
      <c r="U77" s="124">
        <f t="shared" si="17"/>
        <v>0</v>
      </c>
      <c r="V77" s="68">
        <f t="shared" si="2"/>
        <v>0</v>
      </c>
      <c r="W77" s="124">
        <f t="shared" si="4"/>
        <v>0</v>
      </c>
      <c r="X77" s="124">
        <f t="shared" si="18"/>
        <v>0</v>
      </c>
      <c r="Y77" s="124">
        <f>Baseline_DCF!U77</f>
        <v>0</v>
      </c>
      <c r="Z77" s="124">
        <f t="shared" si="19"/>
        <v>0</v>
      </c>
      <c r="AA77" s="68">
        <f t="shared" si="5"/>
        <v>0</v>
      </c>
      <c r="AB77" s="124">
        <f t="shared" si="6"/>
        <v>0</v>
      </c>
      <c r="AC77" s="124">
        <f t="shared" si="7"/>
        <v>0</v>
      </c>
    </row>
    <row r="78" spans="1:29" ht="14.4" x14ac:dyDescent="0.3">
      <c r="A78" s="35">
        <f t="shared" si="8"/>
        <v>29</v>
      </c>
      <c r="B78" s="44">
        <f>1/(1+Solar_DCF!$B$8)^A78</f>
        <v>6.3039408631284766E-2</v>
      </c>
      <c r="C78" s="36">
        <f>IF(A78&lt;(Solar_DCF!$B$6+1),1,0)</f>
        <v>0</v>
      </c>
      <c r="D78" s="36">
        <f>IF(A78&lt;(Solar_DCF!$B$11+1),1,0)</f>
        <v>0</v>
      </c>
      <c r="E78" s="36">
        <f>IF(A78&lt;(Solar_DCF!$B$12+1),1,0)</f>
        <v>0</v>
      </c>
      <c r="F78" s="98">
        <f xml:space="preserve"> -Solar_DCF!$B$32*D78</f>
        <v>0</v>
      </c>
      <c r="G78" s="124">
        <f>-F78*Solar_DCF!$B$9</f>
        <v>0</v>
      </c>
      <c r="H78" s="124">
        <f>-Solar_DCF!$B$28*C78</f>
        <v>0</v>
      </c>
      <c r="I78" s="98">
        <f t="shared" si="21"/>
        <v>-2.7279894643882116E-9</v>
      </c>
      <c r="J78" s="98">
        <f t="shared" si="3"/>
        <v>-2.9325886742173276E-9</v>
      </c>
      <c r="K78" s="98">
        <f>-I78*Solar_DCF!$B$7</f>
        <v>2.0459920982911588E-10</v>
      </c>
      <c r="L78" s="124">
        <f>-(K78*Solar_DCF!$B$9)</f>
        <v>0</v>
      </c>
      <c r="M78" s="98">
        <f t="shared" si="9"/>
        <v>0</v>
      </c>
      <c r="N78" s="98">
        <f t="shared" si="10"/>
        <v>0</v>
      </c>
      <c r="O78" s="98">
        <f t="shared" si="11"/>
        <v>0</v>
      </c>
      <c r="P78" s="98">
        <f t="shared" si="12"/>
        <v>0</v>
      </c>
      <c r="Q78" s="124">
        <f t="shared" si="13"/>
        <v>0</v>
      </c>
      <c r="R78" s="98">
        <f t="shared" si="14"/>
        <v>0</v>
      </c>
      <c r="S78" s="98">
        <f t="shared" si="15"/>
        <v>0</v>
      </c>
      <c r="T78" s="124">
        <f t="shared" si="16"/>
        <v>0</v>
      </c>
      <c r="U78" s="124">
        <f t="shared" si="17"/>
        <v>0</v>
      </c>
      <c r="V78" s="68">
        <f t="shared" si="2"/>
        <v>0</v>
      </c>
      <c r="W78" s="124">
        <f t="shared" si="4"/>
        <v>0</v>
      </c>
      <c r="X78" s="124">
        <f t="shared" si="18"/>
        <v>0</v>
      </c>
      <c r="Y78" s="124">
        <f>Baseline_DCF!U78</f>
        <v>0</v>
      </c>
      <c r="Z78" s="124">
        <f t="shared" si="19"/>
        <v>0</v>
      </c>
      <c r="AA78" s="68">
        <f t="shared" si="5"/>
        <v>0</v>
      </c>
      <c r="AB78" s="124">
        <f t="shared" si="6"/>
        <v>0</v>
      </c>
      <c r="AC78" s="124">
        <f t="shared" si="7"/>
        <v>0</v>
      </c>
    </row>
    <row r="79" spans="1:29" ht="14.4" x14ac:dyDescent="0.3">
      <c r="A79" s="35">
        <f t="shared" si="8"/>
        <v>30</v>
      </c>
      <c r="B79" s="44">
        <f>1/(1+Solar_DCF!$B$8)^A79</f>
        <v>5.7308553301167964E-2</v>
      </c>
      <c r="C79" s="36">
        <f>IF(A79&lt;(Solar_DCF!$B$6+1),1,0)</f>
        <v>0</v>
      </c>
      <c r="D79" s="36">
        <f>IF(A79&lt;(Solar_DCF!$B$11+1),1,0)</f>
        <v>0</v>
      </c>
      <c r="E79" s="36">
        <f>IF(A79&lt;(Solar_DCF!$B$12+1),1,0)</f>
        <v>0</v>
      </c>
      <c r="F79" s="98">
        <f xml:space="preserve"> -Solar_DCF!$B$32*D79</f>
        <v>0</v>
      </c>
      <c r="G79" s="124">
        <f>-F79*Solar_DCF!$B$9</f>
        <v>0</v>
      </c>
      <c r="H79" s="124">
        <f>-Solar_DCF!$B$28*C79</f>
        <v>0</v>
      </c>
      <c r="I79" s="98">
        <f t="shared" si="21"/>
        <v>-2.9325886742173276E-9</v>
      </c>
      <c r="J79" s="98">
        <f t="shared" si="3"/>
        <v>-3.1525328247836271E-9</v>
      </c>
      <c r="K79" s="98">
        <f>-I79*Solar_DCF!$B$7</f>
        <v>2.1994415056629955E-10</v>
      </c>
      <c r="L79" s="124">
        <f>-(K79*Solar_DCF!$B$9)</f>
        <v>0</v>
      </c>
      <c r="M79" s="98">
        <f t="shared" si="9"/>
        <v>0</v>
      </c>
      <c r="N79" s="98">
        <f t="shared" si="10"/>
        <v>0</v>
      </c>
      <c r="O79" s="98">
        <f t="shared" si="11"/>
        <v>0</v>
      </c>
      <c r="P79" s="98">
        <f t="shared" si="12"/>
        <v>0</v>
      </c>
      <c r="Q79" s="124">
        <f t="shared" si="13"/>
        <v>0</v>
      </c>
      <c r="R79" s="98">
        <f t="shared" si="14"/>
        <v>0</v>
      </c>
      <c r="S79" s="98">
        <f t="shared" si="15"/>
        <v>0</v>
      </c>
      <c r="T79" s="124">
        <f t="shared" si="16"/>
        <v>0</v>
      </c>
      <c r="U79" s="124">
        <f t="shared" si="17"/>
        <v>0</v>
      </c>
      <c r="V79" s="68">
        <f t="shared" si="2"/>
        <v>0</v>
      </c>
      <c r="W79" s="124">
        <f t="shared" si="4"/>
        <v>0</v>
      </c>
      <c r="X79" s="124">
        <f t="shared" si="18"/>
        <v>0</v>
      </c>
      <c r="Y79" s="124">
        <f>Baseline_DCF!U79</f>
        <v>0</v>
      </c>
      <c r="Z79" s="124">
        <f t="shared" si="19"/>
        <v>0</v>
      </c>
      <c r="AA79" s="68">
        <f t="shared" si="5"/>
        <v>0</v>
      </c>
      <c r="AB79" s="124">
        <f t="shared" si="6"/>
        <v>0</v>
      </c>
      <c r="AC79" s="124">
        <f t="shared" si="7"/>
        <v>0</v>
      </c>
    </row>
    <row r="80" spans="1:29" ht="14.4" x14ac:dyDescent="0.3">
      <c r="A80" s="35">
        <f t="shared" si="8"/>
        <v>31</v>
      </c>
      <c r="B80" s="44">
        <f>1/(1+Solar_DCF!$B$8)^A80</f>
        <v>5.2098684819243603E-2</v>
      </c>
      <c r="C80" s="36">
        <f>IF(A80&lt;(Solar_DCF!$B$6+1),1,0)</f>
        <v>0</v>
      </c>
      <c r="D80" s="36">
        <f>IF(A80&lt;(Solar_DCF!$B$11+1),1,0)</f>
        <v>0</v>
      </c>
      <c r="E80" s="36">
        <f>IF(A80&lt;(Solar_DCF!$B$12+1),1,0)</f>
        <v>0</v>
      </c>
      <c r="F80" s="98">
        <f xml:space="preserve"> -Solar_DCF!$B$32*D80</f>
        <v>0</v>
      </c>
      <c r="G80" s="124">
        <f>-F80*Solar_DCF!$B$9</f>
        <v>0</v>
      </c>
      <c r="H80" s="124">
        <f>-Solar_DCF!$B$28*C80</f>
        <v>0</v>
      </c>
      <c r="I80" s="98">
        <f t="shared" si="21"/>
        <v>-3.1525328247836271E-9</v>
      </c>
      <c r="J80" s="98">
        <f t="shared" si="3"/>
        <v>-3.388972786642399E-9</v>
      </c>
      <c r="K80" s="98">
        <f>-I80*Solar_DCF!$B$7</f>
        <v>2.3643996185877202E-10</v>
      </c>
      <c r="L80" s="124">
        <f>-(K80*Solar_DCF!$B$9)</f>
        <v>0</v>
      </c>
      <c r="M80" s="98">
        <f t="shared" si="9"/>
        <v>0</v>
      </c>
      <c r="N80" s="98">
        <f t="shared" si="10"/>
        <v>0</v>
      </c>
      <c r="O80" s="98">
        <f t="shared" si="11"/>
        <v>0</v>
      </c>
      <c r="P80" s="98">
        <f t="shared" si="12"/>
        <v>0</v>
      </c>
      <c r="Q80" s="124">
        <f t="shared" si="13"/>
        <v>0</v>
      </c>
      <c r="R80" s="98">
        <f t="shared" si="14"/>
        <v>0</v>
      </c>
      <c r="S80" s="98">
        <f t="shared" si="15"/>
        <v>0</v>
      </c>
      <c r="T80" s="124">
        <f t="shared" si="16"/>
        <v>0</v>
      </c>
      <c r="U80" s="124">
        <f t="shared" si="17"/>
        <v>0</v>
      </c>
      <c r="V80" s="68">
        <f t="shared" si="2"/>
        <v>0</v>
      </c>
      <c r="W80" s="124">
        <f t="shared" si="4"/>
        <v>0</v>
      </c>
      <c r="X80" s="124">
        <f t="shared" si="18"/>
        <v>0</v>
      </c>
      <c r="Y80" s="124">
        <f>Baseline_DCF!U80</f>
        <v>0</v>
      </c>
      <c r="Z80" s="124">
        <f t="shared" si="19"/>
        <v>0</v>
      </c>
      <c r="AA80" s="68">
        <f t="shared" si="5"/>
        <v>0</v>
      </c>
      <c r="AB80" s="124">
        <f t="shared" si="6"/>
        <v>0</v>
      </c>
      <c r="AC80" s="124">
        <f t="shared" si="7"/>
        <v>0</v>
      </c>
    </row>
    <row r="81" spans="1:29" ht="14.4" x14ac:dyDescent="0.3">
      <c r="A81" s="35">
        <f t="shared" si="8"/>
        <v>32</v>
      </c>
      <c r="B81" s="44">
        <f>1/(1+Solar_DCF!$B$8)^A81</f>
        <v>4.7362440744766907E-2</v>
      </c>
      <c r="C81" s="36">
        <f>IF(A81&lt;(Solar_DCF!$B$6+1),1,0)</f>
        <v>0</v>
      </c>
      <c r="D81" s="36">
        <f>IF(A81&lt;(Solar_DCF!$B$11+1),1,0)</f>
        <v>0</v>
      </c>
      <c r="E81" s="36">
        <f>IF(A81&lt;(Solar_DCF!$B$12+1),1,0)</f>
        <v>0</v>
      </c>
      <c r="F81" s="98">
        <f xml:space="preserve"> -Solar_DCF!$B$32*D81</f>
        <v>0</v>
      </c>
      <c r="G81" s="124">
        <f>-F81*Solar_DCF!$B$9</f>
        <v>0</v>
      </c>
      <c r="H81" s="124">
        <f>-Solar_DCF!$B$28*C81</f>
        <v>0</v>
      </c>
      <c r="I81" s="98">
        <f t="shared" si="21"/>
        <v>-3.388972786642399E-9</v>
      </c>
      <c r="J81" s="98">
        <f t="shared" si="3"/>
        <v>-3.6431457456405787E-9</v>
      </c>
      <c r="K81" s="98">
        <f>-I81*Solar_DCF!$B$7</f>
        <v>2.5417295899817991E-10</v>
      </c>
      <c r="L81" s="124">
        <f>-(K81*Solar_DCF!$B$9)</f>
        <v>0</v>
      </c>
      <c r="M81" s="98">
        <f t="shared" si="9"/>
        <v>0</v>
      </c>
      <c r="N81" s="98">
        <f t="shared" si="10"/>
        <v>0</v>
      </c>
      <c r="O81" s="98">
        <f t="shared" si="11"/>
        <v>0</v>
      </c>
      <c r="P81" s="98">
        <f t="shared" si="12"/>
        <v>0</v>
      </c>
      <c r="Q81" s="124">
        <f t="shared" si="13"/>
        <v>0</v>
      </c>
      <c r="R81" s="98">
        <f t="shared" si="14"/>
        <v>0</v>
      </c>
      <c r="S81" s="98">
        <f t="shared" si="15"/>
        <v>0</v>
      </c>
      <c r="T81" s="124">
        <f t="shared" si="16"/>
        <v>0</v>
      </c>
      <c r="U81" s="124">
        <f t="shared" si="17"/>
        <v>0</v>
      </c>
      <c r="V81" s="68">
        <f t="shared" si="2"/>
        <v>0</v>
      </c>
      <c r="W81" s="124">
        <f t="shared" si="4"/>
        <v>0</v>
      </c>
      <c r="X81" s="124">
        <f t="shared" si="18"/>
        <v>0</v>
      </c>
      <c r="Y81" s="124">
        <f>Baseline_DCF!U81</f>
        <v>0</v>
      </c>
      <c r="Z81" s="124">
        <f t="shared" si="19"/>
        <v>0</v>
      </c>
      <c r="AA81" s="68">
        <f t="shared" si="5"/>
        <v>0</v>
      </c>
      <c r="AB81" s="124">
        <f t="shared" si="6"/>
        <v>0</v>
      </c>
      <c r="AC81" s="124">
        <f t="shared" si="7"/>
        <v>0</v>
      </c>
    </row>
    <row r="82" spans="1:29" ht="14.4" x14ac:dyDescent="0.3">
      <c r="A82" s="35">
        <f t="shared" si="8"/>
        <v>33</v>
      </c>
      <c r="B82" s="44">
        <f>1/(1+Solar_DCF!$B$8)^A82</f>
        <v>4.3056764313424457E-2</v>
      </c>
      <c r="C82" s="36">
        <f>IF(A82&lt;(Solar_DCF!$B$6+1),1,0)</f>
        <v>0</v>
      </c>
      <c r="D82" s="36">
        <f>IF(A82&lt;(Solar_DCF!$B$11+1),1,0)</f>
        <v>0</v>
      </c>
      <c r="E82" s="36">
        <f>IF(A82&lt;(Solar_DCF!$B$12+1),1,0)</f>
        <v>0</v>
      </c>
      <c r="F82" s="98">
        <f xml:space="preserve"> -Solar_DCF!$B$32*D82</f>
        <v>0</v>
      </c>
      <c r="G82" s="124">
        <f>-F82*Solar_DCF!$B$9</f>
        <v>0</v>
      </c>
      <c r="H82" s="124">
        <f>-Solar_DCF!$B$28*C82</f>
        <v>0</v>
      </c>
      <c r="I82" s="98">
        <f t="shared" si="21"/>
        <v>-3.6431457456405787E-9</v>
      </c>
      <c r="J82" s="98">
        <f t="shared" si="3"/>
        <v>-3.9163816765636218E-9</v>
      </c>
      <c r="K82" s="98">
        <f>-I82*Solar_DCF!$B$7</f>
        <v>2.732359309230434E-10</v>
      </c>
      <c r="L82" s="124">
        <f>-(K82*Solar_DCF!$B$9)</f>
        <v>0</v>
      </c>
      <c r="M82" s="98">
        <f t="shared" si="9"/>
        <v>0</v>
      </c>
      <c r="N82" s="98">
        <f t="shared" si="10"/>
        <v>0</v>
      </c>
      <c r="O82" s="98">
        <f t="shared" si="11"/>
        <v>0</v>
      </c>
      <c r="P82" s="98">
        <f t="shared" si="12"/>
        <v>0</v>
      </c>
      <c r="Q82" s="124">
        <f t="shared" si="13"/>
        <v>0</v>
      </c>
      <c r="R82" s="98">
        <f t="shared" si="14"/>
        <v>0</v>
      </c>
      <c r="S82" s="98">
        <f t="shared" si="15"/>
        <v>0</v>
      </c>
      <c r="T82" s="124">
        <f t="shared" si="16"/>
        <v>0</v>
      </c>
      <c r="U82" s="124">
        <f t="shared" si="17"/>
        <v>0</v>
      </c>
      <c r="V82" s="68">
        <f t="shared" si="2"/>
        <v>0</v>
      </c>
      <c r="W82" s="124">
        <f t="shared" si="4"/>
        <v>0</v>
      </c>
      <c r="X82" s="124">
        <f t="shared" si="18"/>
        <v>0</v>
      </c>
      <c r="Y82" s="124">
        <f>Baseline_DCF!U82</f>
        <v>0</v>
      </c>
      <c r="Z82" s="124">
        <f t="shared" si="19"/>
        <v>0</v>
      </c>
      <c r="AA82" s="68">
        <f t="shared" si="5"/>
        <v>0</v>
      </c>
      <c r="AB82" s="124">
        <f t="shared" si="6"/>
        <v>0</v>
      </c>
      <c r="AC82" s="124">
        <f t="shared" si="7"/>
        <v>0</v>
      </c>
    </row>
    <row r="83" spans="1:29" ht="14.4" x14ac:dyDescent="0.3">
      <c r="A83" s="35">
        <f t="shared" si="8"/>
        <v>34</v>
      </c>
      <c r="B83" s="44">
        <f>1/(1+Solar_DCF!$B$8)^A83</f>
        <v>3.9142513012204054E-2</v>
      </c>
      <c r="C83" s="36">
        <f>IF(A83&lt;(Solar_DCF!$B$6+1),1,0)</f>
        <v>0</v>
      </c>
      <c r="D83" s="36">
        <f>IF(A83&lt;(Solar_DCF!$B$11+1),1,0)</f>
        <v>0</v>
      </c>
      <c r="E83" s="36">
        <f>IF(A83&lt;(Solar_DCF!$B$12+1),1,0)</f>
        <v>0</v>
      </c>
      <c r="F83" s="98">
        <f xml:space="preserve"> -Solar_DCF!$B$32*D83</f>
        <v>0</v>
      </c>
      <c r="G83" s="124">
        <f>-F83*Solar_DCF!$B$9</f>
        <v>0</v>
      </c>
      <c r="H83" s="124">
        <f>-Solar_DCF!$B$28*C83</f>
        <v>0</v>
      </c>
      <c r="I83" s="98">
        <f t="shared" si="21"/>
        <v>-3.9163816765636218E-9</v>
      </c>
      <c r="J83" s="98">
        <f t="shared" si="3"/>
        <v>-4.2101103023058931E-9</v>
      </c>
      <c r="K83" s="98">
        <f>-I83*Solar_DCF!$B$7</f>
        <v>2.9372862574227161E-10</v>
      </c>
      <c r="L83" s="124">
        <f>-(K83*Solar_DCF!$B$9)</f>
        <v>0</v>
      </c>
      <c r="M83" s="98">
        <f t="shared" si="9"/>
        <v>0</v>
      </c>
      <c r="N83" s="98">
        <f t="shared" si="10"/>
        <v>0</v>
      </c>
      <c r="O83" s="98">
        <f t="shared" si="11"/>
        <v>0</v>
      </c>
      <c r="P83" s="98">
        <f t="shared" si="12"/>
        <v>0</v>
      </c>
      <c r="Q83" s="124">
        <f t="shared" si="13"/>
        <v>0</v>
      </c>
      <c r="R83" s="98">
        <f t="shared" si="14"/>
        <v>0</v>
      </c>
      <c r="S83" s="98">
        <f t="shared" si="15"/>
        <v>0</v>
      </c>
      <c r="T83" s="124">
        <f t="shared" si="16"/>
        <v>0</v>
      </c>
      <c r="U83" s="124">
        <f t="shared" si="17"/>
        <v>0</v>
      </c>
      <c r="V83" s="68">
        <f t="shared" si="2"/>
        <v>0</v>
      </c>
      <c r="W83" s="124">
        <f t="shared" si="4"/>
        <v>0</v>
      </c>
      <c r="X83" s="124">
        <f t="shared" si="18"/>
        <v>0</v>
      </c>
      <c r="Y83" s="124">
        <f>Baseline_DCF!U83</f>
        <v>0</v>
      </c>
      <c r="Z83" s="124">
        <f t="shared" si="19"/>
        <v>0</v>
      </c>
      <c r="AA83" s="68">
        <f t="shared" si="5"/>
        <v>0</v>
      </c>
      <c r="AB83" s="124">
        <f t="shared" si="6"/>
        <v>0</v>
      </c>
      <c r="AC83" s="124">
        <f t="shared" si="7"/>
        <v>0</v>
      </c>
    </row>
    <row r="84" spans="1:29" ht="14.4" x14ac:dyDescent="0.3">
      <c r="A84" s="35">
        <f t="shared" si="8"/>
        <v>35</v>
      </c>
      <c r="B84" s="44">
        <f>1/(1+Solar_DCF!$B$8)^A84</f>
        <v>3.5584102738367311E-2</v>
      </c>
      <c r="C84" s="36">
        <f>IF(A84&lt;(Solar_DCF!$B$6+1),1,0)</f>
        <v>0</v>
      </c>
      <c r="D84" s="36">
        <f>IF(A84&lt;(Solar_DCF!$B$11+1),1,0)</f>
        <v>0</v>
      </c>
      <c r="E84" s="36">
        <f>IF(A84&lt;(Solar_DCF!$B$12+1),1,0)</f>
        <v>0</v>
      </c>
      <c r="F84" s="98">
        <f xml:space="preserve"> -Solar_DCF!$B$32*D84</f>
        <v>0</v>
      </c>
      <c r="G84" s="124">
        <f>-F84*Solar_DCF!$B$9</f>
        <v>0</v>
      </c>
      <c r="H84" s="124">
        <f>-Solar_DCF!$B$28*C84</f>
        <v>0</v>
      </c>
      <c r="I84" s="98">
        <f t="shared" si="21"/>
        <v>-4.2101103023058931E-9</v>
      </c>
      <c r="J84" s="98">
        <f t="shared" si="3"/>
        <v>-4.5258685749788351E-9</v>
      </c>
      <c r="K84" s="98">
        <f>-I84*Solar_DCF!$B$7</f>
        <v>3.1575827267294197E-10</v>
      </c>
      <c r="L84" s="124">
        <f>-(K84*Solar_DCF!$B$9)</f>
        <v>0</v>
      </c>
      <c r="M84" s="98">
        <f t="shared" si="9"/>
        <v>0</v>
      </c>
      <c r="N84" s="98">
        <f t="shared" si="10"/>
        <v>0</v>
      </c>
      <c r="O84" s="98">
        <f t="shared" si="11"/>
        <v>0</v>
      </c>
      <c r="P84" s="98">
        <f t="shared" si="12"/>
        <v>0</v>
      </c>
      <c r="Q84" s="124">
        <f t="shared" si="13"/>
        <v>0</v>
      </c>
      <c r="R84" s="98">
        <f t="shared" si="14"/>
        <v>0</v>
      </c>
      <c r="S84" s="98">
        <f t="shared" si="15"/>
        <v>0</v>
      </c>
      <c r="T84" s="124">
        <f t="shared" si="16"/>
        <v>0</v>
      </c>
      <c r="U84" s="124">
        <f t="shared" si="17"/>
        <v>0</v>
      </c>
      <c r="V84" s="68">
        <f t="shared" si="2"/>
        <v>0</v>
      </c>
      <c r="W84" s="124">
        <f t="shared" si="4"/>
        <v>0</v>
      </c>
      <c r="X84" s="124">
        <f t="shared" si="18"/>
        <v>0</v>
      </c>
      <c r="Y84" s="124">
        <f>Baseline_DCF!U84</f>
        <v>0</v>
      </c>
      <c r="Z84" s="124">
        <f t="shared" si="19"/>
        <v>0</v>
      </c>
      <c r="AA84" s="68">
        <f t="shared" si="5"/>
        <v>0</v>
      </c>
      <c r="AB84" s="124">
        <f t="shared" si="6"/>
        <v>0</v>
      </c>
      <c r="AC84" s="124">
        <f t="shared" si="7"/>
        <v>0</v>
      </c>
    </row>
    <row r="85" spans="1:29" ht="14.4" x14ac:dyDescent="0.3">
      <c r="A85" s="35">
        <f t="shared" si="8"/>
        <v>36</v>
      </c>
      <c r="B85" s="44">
        <f>1/(1+Solar_DCF!$B$8)^A85</f>
        <v>3.2349184307606652E-2</v>
      </c>
      <c r="C85" s="36">
        <f>IF(A85&lt;(Solar_DCF!$B$6+1),1,0)</f>
        <v>0</v>
      </c>
      <c r="D85" s="36">
        <f>IF(A85&lt;(Solar_DCF!$B$11+1),1,0)</f>
        <v>0</v>
      </c>
      <c r="E85" s="36">
        <f>IF(A85&lt;(Solar_DCF!$B$12+1),1,0)</f>
        <v>0</v>
      </c>
      <c r="F85" s="98">
        <f xml:space="preserve"> -Solar_DCF!$B$32*D85</f>
        <v>0</v>
      </c>
      <c r="G85" s="124">
        <f>-F85*Solar_DCF!$B$9</f>
        <v>0</v>
      </c>
      <c r="H85" s="124">
        <f>-Solar_DCF!$B$28*C85</f>
        <v>0</v>
      </c>
      <c r="I85" s="98">
        <f t="shared" si="21"/>
        <v>-4.5258685749788351E-9</v>
      </c>
      <c r="J85" s="98">
        <f t="shared" si="3"/>
        <v>-4.865308718102248E-9</v>
      </c>
      <c r="K85" s="98">
        <f>-I85*Solar_DCF!$B$7</f>
        <v>3.3944014312341261E-10</v>
      </c>
      <c r="L85" s="124">
        <f>-(K85*Solar_DCF!$B$9)</f>
        <v>0</v>
      </c>
      <c r="M85" s="98">
        <f t="shared" si="9"/>
        <v>0</v>
      </c>
      <c r="N85" s="98">
        <f t="shared" si="10"/>
        <v>0</v>
      </c>
      <c r="O85" s="98">
        <f t="shared" si="11"/>
        <v>0</v>
      </c>
      <c r="P85" s="98">
        <f t="shared" si="12"/>
        <v>0</v>
      </c>
      <c r="Q85" s="124">
        <f t="shared" si="13"/>
        <v>0</v>
      </c>
      <c r="R85" s="98">
        <f t="shared" si="14"/>
        <v>0</v>
      </c>
      <c r="S85" s="98">
        <f t="shared" si="15"/>
        <v>0</v>
      </c>
      <c r="T85" s="124">
        <f t="shared" si="16"/>
        <v>0</v>
      </c>
      <c r="U85" s="124">
        <f t="shared" si="17"/>
        <v>0</v>
      </c>
      <c r="V85" s="68">
        <f t="shared" si="2"/>
        <v>0</v>
      </c>
      <c r="W85" s="124">
        <f t="shared" si="4"/>
        <v>0</v>
      </c>
      <c r="X85" s="124">
        <f t="shared" si="18"/>
        <v>0</v>
      </c>
      <c r="Y85" s="124">
        <f>Baseline_DCF!U85</f>
        <v>0</v>
      </c>
      <c r="Z85" s="124">
        <f t="shared" si="19"/>
        <v>0</v>
      </c>
      <c r="AA85" s="68">
        <f t="shared" si="5"/>
        <v>0</v>
      </c>
      <c r="AB85" s="124">
        <f t="shared" si="6"/>
        <v>0</v>
      </c>
      <c r="AC85" s="124">
        <f t="shared" si="7"/>
        <v>0</v>
      </c>
    </row>
    <row r="86" spans="1:29" ht="14.4" x14ac:dyDescent="0.3">
      <c r="A86" s="35">
        <f t="shared" si="8"/>
        <v>37</v>
      </c>
      <c r="B86" s="44">
        <f>1/(1+Solar_DCF!$B$8)^A86</f>
        <v>2.94083493705515E-2</v>
      </c>
      <c r="C86" s="36">
        <f>IF(A86&lt;(Solar_DCF!$B$6+1),1,0)</f>
        <v>0</v>
      </c>
      <c r="D86" s="36">
        <f>IF(A86&lt;(Solar_DCF!$B$11+1),1,0)</f>
        <v>0</v>
      </c>
      <c r="E86" s="36">
        <f>IF(A86&lt;(Solar_DCF!$B$12+1),1,0)</f>
        <v>0</v>
      </c>
      <c r="F86" s="98">
        <f xml:space="preserve"> -Solar_DCF!$B$32*D86</f>
        <v>0</v>
      </c>
      <c r="G86" s="124">
        <f>-F86*Solar_DCF!$B$9</f>
        <v>0</v>
      </c>
      <c r="H86" s="124">
        <f>-Solar_DCF!$B$28*C86</f>
        <v>0</v>
      </c>
      <c r="I86" s="98">
        <f t="shared" si="21"/>
        <v>-4.865308718102248E-9</v>
      </c>
      <c r="J86" s="98">
        <f t="shared" si="3"/>
        <v>-5.2302068719599166E-9</v>
      </c>
      <c r="K86" s="98">
        <f>-I86*Solar_DCF!$B$7</f>
        <v>3.6489815385766859E-10</v>
      </c>
      <c r="L86" s="124">
        <f>-(K86*Solar_DCF!$B$9)</f>
        <v>0</v>
      </c>
      <c r="M86" s="98">
        <f t="shared" si="9"/>
        <v>0</v>
      </c>
      <c r="N86" s="98">
        <f t="shared" si="10"/>
        <v>0</v>
      </c>
      <c r="O86" s="98">
        <f t="shared" si="11"/>
        <v>0</v>
      </c>
      <c r="P86" s="98">
        <f t="shared" si="12"/>
        <v>0</v>
      </c>
      <c r="Q86" s="124">
        <f t="shared" si="13"/>
        <v>0</v>
      </c>
      <c r="R86" s="98">
        <f t="shared" si="14"/>
        <v>0</v>
      </c>
      <c r="S86" s="98">
        <f t="shared" si="15"/>
        <v>0</v>
      </c>
      <c r="T86" s="124">
        <f t="shared" si="16"/>
        <v>0</v>
      </c>
      <c r="U86" s="124">
        <f t="shared" si="17"/>
        <v>0</v>
      </c>
      <c r="V86" s="68">
        <f t="shared" si="2"/>
        <v>0</v>
      </c>
      <c r="W86" s="124">
        <f t="shared" si="4"/>
        <v>0</v>
      </c>
      <c r="X86" s="124">
        <f t="shared" si="18"/>
        <v>0</v>
      </c>
      <c r="Y86" s="124">
        <f>Baseline_DCF!U86</f>
        <v>0</v>
      </c>
      <c r="Z86" s="124">
        <f t="shared" si="19"/>
        <v>0</v>
      </c>
      <c r="AA86" s="68">
        <f t="shared" si="5"/>
        <v>0</v>
      </c>
      <c r="AB86" s="124">
        <f t="shared" si="6"/>
        <v>0</v>
      </c>
      <c r="AC86" s="124">
        <f t="shared" si="7"/>
        <v>0</v>
      </c>
    </row>
    <row r="87" spans="1:29" ht="14.4" x14ac:dyDescent="0.3">
      <c r="A87" s="35">
        <f t="shared" si="8"/>
        <v>38</v>
      </c>
      <c r="B87" s="44">
        <f>1/(1+Solar_DCF!$B$8)^A87</f>
        <v>2.6734863064137721E-2</v>
      </c>
      <c r="C87" s="36">
        <f>IF(A87&lt;(Solar_DCF!$B$6+1),1,0)</f>
        <v>0</v>
      </c>
      <c r="D87" s="36">
        <f>IF(A87&lt;(Solar_DCF!$B$11+1),1,0)</f>
        <v>0</v>
      </c>
      <c r="E87" s="36">
        <f>IF(A87&lt;(Solar_DCF!$B$12+1),1,0)</f>
        <v>0</v>
      </c>
      <c r="F87" s="98">
        <f xml:space="preserve"> -Solar_DCF!$B$32*D87</f>
        <v>0</v>
      </c>
      <c r="G87" s="124">
        <f>-F87*Solar_DCF!$B$9</f>
        <v>0</v>
      </c>
      <c r="H87" s="124">
        <f>-Solar_DCF!$B$28*C87</f>
        <v>0</v>
      </c>
      <c r="I87" s="98">
        <f t="shared" si="21"/>
        <v>-5.2302068719599166E-9</v>
      </c>
      <c r="J87" s="98">
        <f t="shared" si="3"/>
        <v>-5.6224723873569106E-9</v>
      </c>
      <c r="K87" s="98">
        <f>-I87*Solar_DCF!$B$7</f>
        <v>3.9226551539699371E-10</v>
      </c>
      <c r="L87" s="124">
        <f>-(K87*Solar_DCF!$B$9)</f>
        <v>0</v>
      </c>
      <c r="M87" s="98">
        <f t="shared" si="9"/>
        <v>0</v>
      </c>
      <c r="N87" s="98">
        <f t="shared" si="10"/>
        <v>0</v>
      </c>
      <c r="O87" s="98">
        <f t="shared" si="11"/>
        <v>0</v>
      </c>
      <c r="P87" s="98">
        <f t="shared" si="12"/>
        <v>0</v>
      </c>
      <c r="Q87" s="124">
        <f t="shared" si="13"/>
        <v>0</v>
      </c>
      <c r="R87" s="98">
        <f t="shared" si="14"/>
        <v>0</v>
      </c>
      <c r="S87" s="98">
        <f t="shared" si="15"/>
        <v>0</v>
      </c>
      <c r="T87" s="124">
        <f t="shared" si="16"/>
        <v>0</v>
      </c>
      <c r="U87" s="124">
        <f t="shared" si="17"/>
        <v>0</v>
      </c>
      <c r="V87" s="68">
        <f t="shared" si="2"/>
        <v>0</v>
      </c>
      <c r="W87" s="124">
        <f t="shared" si="4"/>
        <v>0</v>
      </c>
      <c r="X87" s="124">
        <f t="shared" si="18"/>
        <v>0</v>
      </c>
      <c r="Y87" s="124">
        <f>Baseline_DCF!U87</f>
        <v>0</v>
      </c>
      <c r="Z87" s="124">
        <f t="shared" si="19"/>
        <v>0</v>
      </c>
      <c r="AA87" s="68">
        <f t="shared" si="5"/>
        <v>0</v>
      </c>
      <c r="AB87" s="124">
        <f t="shared" si="6"/>
        <v>0</v>
      </c>
      <c r="AC87" s="124">
        <f t="shared" si="7"/>
        <v>0</v>
      </c>
    </row>
    <row r="88" spans="1:29" ht="14.4" x14ac:dyDescent="0.3">
      <c r="A88" s="35">
        <f t="shared" si="8"/>
        <v>39</v>
      </c>
      <c r="B88" s="44">
        <f>1/(1+Solar_DCF!$B$8)^A88</f>
        <v>2.4304420967397926E-2</v>
      </c>
      <c r="C88" s="36">
        <f>IF(A88&lt;(Solar_DCF!$B$6+1),1,0)</f>
        <v>0</v>
      </c>
      <c r="D88" s="36">
        <f>IF(A88&lt;(Solar_DCF!$B$11+1),1,0)</f>
        <v>0</v>
      </c>
      <c r="E88" s="36">
        <f>IF(A88&lt;(Solar_DCF!$B$12+1),1,0)</f>
        <v>0</v>
      </c>
      <c r="F88" s="98">
        <f xml:space="preserve"> -Solar_DCF!$B$32*D88</f>
        <v>0</v>
      </c>
      <c r="G88" s="124">
        <f>-F88*Solar_DCF!$B$9</f>
        <v>0</v>
      </c>
      <c r="H88" s="124">
        <f>-Solar_DCF!$B$28*C88</f>
        <v>0</v>
      </c>
      <c r="I88" s="98">
        <f t="shared" si="21"/>
        <v>-5.6224723873569106E-9</v>
      </c>
      <c r="J88" s="98">
        <f t="shared" si="3"/>
        <v>-6.0441578164086793E-9</v>
      </c>
      <c r="K88" s="98">
        <f>-I88*Solar_DCF!$B$7</f>
        <v>4.2168542905176826E-10</v>
      </c>
      <c r="L88" s="124">
        <f>-(K88*Solar_DCF!$B$9)</f>
        <v>0</v>
      </c>
      <c r="M88" s="98">
        <f t="shared" si="9"/>
        <v>0</v>
      </c>
      <c r="N88" s="98">
        <f t="shared" si="10"/>
        <v>0</v>
      </c>
      <c r="O88" s="98">
        <f t="shared" si="11"/>
        <v>0</v>
      </c>
      <c r="P88" s="98">
        <f t="shared" si="12"/>
        <v>0</v>
      </c>
      <c r="Q88" s="124">
        <f t="shared" si="13"/>
        <v>0</v>
      </c>
      <c r="R88" s="98">
        <f t="shared" si="14"/>
        <v>0</v>
      </c>
      <c r="S88" s="98">
        <f t="shared" si="15"/>
        <v>0</v>
      </c>
      <c r="T88" s="124">
        <f t="shared" si="16"/>
        <v>0</v>
      </c>
      <c r="U88" s="124">
        <f t="shared" si="17"/>
        <v>0</v>
      </c>
      <c r="V88" s="68">
        <f t="shared" si="2"/>
        <v>0</v>
      </c>
      <c r="W88" s="124">
        <f t="shared" si="4"/>
        <v>0</v>
      </c>
      <c r="X88" s="124">
        <f t="shared" si="18"/>
        <v>0</v>
      </c>
      <c r="Y88" s="124">
        <f>Baseline_DCF!U88</f>
        <v>0</v>
      </c>
      <c r="Z88" s="124">
        <f t="shared" si="19"/>
        <v>0</v>
      </c>
      <c r="AA88" s="68">
        <f t="shared" si="5"/>
        <v>0</v>
      </c>
      <c r="AB88" s="124">
        <f t="shared" si="6"/>
        <v>0</v>
      </c>
      <c r="AC88" s="124">
        <f t="shared" si="7"/>
        <v>0</v>
      </c>
    </row>
    <row r="89" spans="1:29" ht="14.4" x14ac:dyDescent="0.3">
      <c r="A89" s="35">
        <f t="shared" si="8"/>
        <v>40</v>
      </c>
      <c r="B89" s="44">
        <f>1/(1+Solar_DCF!$B$8)^A89</f>
        <v>2.2094928152179935E-2</v>
      </c>
      <c r="C89" s="36">
        <f>IF(A89&lt;(Solar_DCF!$B$6+1),1,0)</f>
        <v>0</v>
      </c>
      <c r="D89" s="36">
        <f>IF(A89&lt;(Solar_DCF!$B$11+1),1,0)</f>
        <v>0</v>
      </c>
      <c r="E89" s="36">
        <f>IF(A89&lt;(Solar_DCF!$B$12+1),1,0)</f>
        <v>0</v>
      </c>
      <c r="F89" s="98">
        <f xml:space="preserve"> -Solar_DCF!$B$32*D89</f>
        <v>0</v>
      </c>
      <c r="G89" s="124">
        <f>-F89*Solar_DCF!$B$9</f>
        <v>0</v>
      </c>
      <c r="H89" s="124">
        <f>-Solar_DCF!$B$28*C89</f>
        <v>0</v>
      </c>
      <c r="I89" s="98">
        <f t="shared" si="21"/>
        <v>-6.0441578164086793E-9</v>
      </c>
      <c r="J89" s="98">
        <f t="shared" si="3"/>
        <v>-6.49746965263933E-9</v>
      </c>
      <c r="K89" s="98">
        <f>-I89*Solar_DCF!$B$7</f>
        <v>4.5331183623065095E-10</v>
      </c>
      <c r="L89" s="124">
        <f>-(K89*Solar_DCF!$B$9)</f>
        <v>0</v>
      </c>
      <c r="M89" s="98">
        <f t="shared" si="9"/>
        <v>0</v>
      </c>
      <c r="N89" s="98">
        <f t="shared" si="10"/>
        <v>0</v>
      </c>
      <c r="O89" s="98">
        <f t="shared" si="11"/>
        <v>0</v>
      </c>
      <c r="P89" s="98">
        <f t="shared" si="12"/>
        <v>0</v>
      </c>
      <c r="Q89" s="124">
        <f t="shared" si="13"/>
        <v>0</v>
      </c>
      <c r="R89" s="98">
        <f t="shared" si="14"/>
        <v>0</v>
      </c>
      <c r="S89" s="98">
        <f t="shared" si="15"/>
        <v>0</v>
      </c>
      <c r="T89" s="124">
        <f t="shared" si="16"/>
        <v>0</v>
      </c>
      <c r="U89" s="124">
        <f t="shared" si="17"/>
        <v>0</v>
      </c>
      <c r="V89" s="68">
        <f t="shared" si="2"/>
        <v>0</v>
      </c>
      <c r="W89" s="124">
        <f t="shared" si="4"/>
        <v>0</v>
      </c>
      <c r="X89" s="124">
        <f t="shared" si="18"/>
        <v>0</v>
      </c>
      <c r="Y89" s="124">
        <f>Baseline_DCF!U89</f>
        <v>0</v>
      </c>
      <c r="Z89" s="124">
        <f t="shared" si="19"/>
        <v>0</v>
      </c>
      <c r="AA89" s="68">
        <f t="shared" si="5"/>
        <v>0</v>
      </c>
      <c r="AB89" s="124">
        <f t="shared" si="6"/>
        <v>0</v>
      </c>
      <c r="AC89" s="124">
        <f t="shared" si="7"/>
        <v>0</v>
      </c>
    </row>
    <row r="90" spans="1:29" ht="19.8" x14ac:dyDescent="0.25">
      <c r="A90" s="116" t="s">
        <v>112</v>
      </c>
      <c r="B90" s="121"/>
      <c r="C90" s="121"/>
      <c r="D90" s="121"/>
      <c r="E90" s="121"/>
      <c r="F90" s="121"/>
      <c r="G90" s="122"/>
      <c r="H90" s="122"/>
      <c r="I90" s="121"/>
      <c r="J90" s="121"/>
      <c r="K90" s="121"/>
      <c r="L90" s="122"/>
      <c r="M90" s="121"/>
      <c r="N90" s="121"/>
      <c r="O90" s="121"/>
      <c r="P90" s="121"/>
      <c r="Q90" s="122"/>
      <c r="R90" s="121"/>
      <c r="S90" s="121"/>
      <c r="T90" s="122"/>
      <c r="U90" s="122"/>
      <c r="V90" s="121"/>
      <c r="AA90" s="140"/>
      <c r="AB90" s="88"/>
      <c r="AC90" s="140"/>
    </row>
    <row r="91" spans="1:29" ht="52.8" x14ac:dyDescent="0.25">
      <c r="A91" s="32" t="s">
        <v>58</v>
      </c>
      <c r="B91" s="33" t="s">
        <v>59</v>
      </c>
      <c r="C91" s="33" t="s">
        <v>60</v>
      </c>
      <c r="D91" s="34" t="s">
        <v>61</v>
      </c>
      <c r="E91" s="34" t="s">
        <v>62</v>
      </c>
      <c r="F91" s="33" t="s">
        <v>63</v>
      </c>
      <c r="G91" s="125" t="s">
        <v>64</v>
      </c>
      <c r="H91" s="125" t="s">
        <v>65</v>
      </c>
      <c r="I91" s="33" t="s">
        <v>66</v>
      </c>
      <c r="J91" s="33" t="s">
        <v>67</v>
      </c>
      <c r="K91" s="33" t="s">
        <v>68</v>
      </c>
      <c r="L91" s="125" t="s">
        <v>82</v>
      </c>
      <c r="M91" s="33" t="s">
        <v>69</v>
      </c>
      <c r="N91" s="33" t="s">
        <v>70</v>
      </c>
      <c r="O91" s="33" t="s">
        <v>71</v>
      </c>
      <c r="P91" s="34" t="s">
        <v>72</v>
      </c>
      <c r="Q91" s="125" t="s">
        <v>83</v>
      </c>
      <c r="R91" s="33" t="s">
        <v>73</v>
      </c>
      <c r="S91" s="33" t="s">
        <v>74</v>
      </c>
      <c r="T91" s="127" t="s">
        <v>75</v>
      </c>
      <c r="U91" s="128" t="s">
        <v>150</v>
      </c>
      <c r="V91" s="43" t="s">
        <v>151</v>
      </c>
      <c r="AA91" s="140"/>
      <c r="AB91" s="88"/>
      <c r="AC91" s="140"/>
    </row>
    <row r="92" spans="1:29" ht="14.4" x14ac:dyDescent="0.3">
      <c r="A92" s="35">
        <v>0</v>
      </c>
      <c r="B92" s="44">
        <f>1/(1+Solar_DCF!$F$8)^A92</f>
        <v>1</v>
      </c>
      <c r="C92" s="35"/>
      <c r="D92" s="36"/>
      <c r="E92" s="36"/>
      <c r="F92" s="98"/>
      <c r="G92" s="124"/>
      <c r="H92" s="124"/>
      <c r="I92" s="98">
        <v>0</v>
      </c>
      <c r="J92" s="98"/>
      <c r="K92" s="98"/>
      <c r="L92" s="124"/>
      <c r="M92" s="98"/>
      <c r="N92" s="98"/>
      <c r="O92" s="98"/>
      <c r="P92" s="98"/>
      <c r="Q92" s="124"/>
      <c r="R92" s="98"/>
      <c r="S92" s="98"/>
      <c r="T92" s="124"/>
      <c r="U92" s="124">
        <f>-Solar_DCF!$F$26</f>
        <v>-485746.05891047104</v>
      </c>
      <c r="V92" s="68">
        <f t="shared" ref="V92:V132" si="22">U92*B92</f>
        <v>-485746.05891047104</v>
      </c>
      <c r="AA92" s="140"/>
      <c r="AB92" s="88"/>
      <c r="AC92" s="140"/>
    </row>
    <row r="93" spans="1:29" ht="14.4" x14ac:dyDescent="0.3">
      <c r="A93" s="35">
        <f t="shared" ref="A93:A132" si="23">A92+1</f>
        <v>1</v>
      </c>
      <c r="B93" s="44">
        <f>1/(1+Solar_DCF!$F$8)^A93</f>
        <v>0.90909090909090906</v>
      </c>
      <c r="C93" s="36">
        <f>IF(A93&lt;(Solar_DCF!$F$6+1),1,0)</f>
        <v>1</v>
      </c>
      <c r="D93" s="36">
        <f>IF(A93&lt;(Solar_DCF!$F$11+1),1,0)</f>
        <v>1</v>
      </c>
      <c r="E93" s="36">
        <f>IF(A93&lt;(Solar_DCF!$F$12+1),1,0)</f>
        <v>1</v>
      </c>
      <c r="F93" s="98">
        <f xml:space="preserve"> -Solar_DCF!$F$32*D93</f>
        <v>-80957.676485078497</v>
      </c>
      <c r="G93" s="124">
        <f>-F93*Solar_DCF!$F$9</f>
        <v>0</v>
      </c>
      <c r="H93" s="124">
        <f>-Solar_DCF!$F$28*C93</f>
        <v>-106149.54762893375</v>
      </c>
      <c r="I93" s="98">
        <f>Solar_DCF!F25</f>
        <v>728619.0883657065</v>
      </c>
      <c r="J93" s="98">
        <f t="shared" ref="J93:J132" si="24">I93+H93-K93</f>
        <v>677115.97236420074</v>
      </c>
      <c r="K93" s="98">
        <f>-I93*Solar_DCF!$F$7</f>
        <v>-54646.431627427984</v>
      </c>
      <c r="L93" s="124">
        <f>-(K93*Solar_DCF!$F$9)</f>
        <v>0</v>
      </c>
      <c r="M93" s="98">
        <f>-Solar_DCF!$F$15*Solar_DCF!$F$23*E93*(1+Solar_DCF!$F$10)^A93</f>
        <v>-24894.485519161637</v>
      </c>
      <c r="N93" s="98">
        <f>M93*Solar_DCF!$F$9</f>
        <v>0</v>
      </c>
      <c r="O93" s="98">
        <f>-E93*$H$22*$F$14*(1+$F$10)^A93</f>
        <v>0</v>
      </c>
      <c r="P93" s="98">
        <f>O93*$F$9</f>
        <v>0</v>
      </c>
      <c r="Q93" s="124">
        <f t="shared" ref="Q93:Q132" si="25">(M93+O93-N93-P93)</f>
        <v>-24894.485519161637</v>
      </c>
      <c r="R93" s="98">
        <f>-E93*Solar_DCF!$F$21*(1+Solar_DCF!$F$17)^(Solar_DCF!A93)</f>
        <v>-960937.49999999988</v>
      </c>
      <c r="S93" s="98">
        <f>-R93*Solar_DCF!$F$9</f>
        <v>0</v>
      </c>
      <c r="T93" s="124">
        <f t="shared" ref="T93:T132" si="26">R93+S93</f>
        <v>-960937.49999999988</v>
      </c>
      <c r="U93" s="124">
        <f>G93+H93+L93+Q93+T93+IF(AND(E93=1,E94=0),$F$24,0)</f>
        <v>-1091981.5331480952</v>
      </c>
      <c r="V93" s="68">
        <f t="shared" si="22"/>
        <v>-992710.48468008661</v>
      </c>
      <c r="AA93" s="140"/>
      <c r="AB93" s="88"/>
      <c r="AC93" s="140"/>
    </row>
    <row r="94" spans="1:29" ht="14.4" x14ac:dyDescent="0.3">
      <c r="A94" s="35">
        <f t="shared" si="23"/>
        <v>2</v>
      </c>
      <c r="B94" s="44">
        <f>1/(1+Solar_DCF!$F$8)^A94</f>
        <v>0.82644628099173545</v>
      </c>
      <c r="C94" s="36">
        <f>IF(A94&lt;(Solar_DCF!$F$6+1),1,0)</f>
        <v>1</v>
      </c>
      <c r="D94" s="36">
        <f>IF(A94&lt;(Solar_DCF!$F$11+1),1,0)</f>
        <v>1</v>
      </c>
      <c r="E94" s="36">
        <f>IF(A94&lt;(Solar_DCF!$F$12+1),1,0)</f>
        <v>1</v>
      </c>
      <c r="F94" s="98">
        <f xml:space="preserve"> -Solar_DCF!$F$32*D94</f>
        <v>-80957.676485078497</v>
      </c>
      <c r="G94" s="124">
        <f>-F94*Solar_DCF!$F$9</f>
        <v>0</v>
      </c>
      <c r="H94" s="124">
        <f>-Solar_DCF!$F$28*C94</f>
        <v>-106149.54762893375</v>
      </c>
      <c r="I94" s="98">
        <f t="shared" ref="I94:I132" si="27">J93</f>
        <v>677115.97236420074</v>
      </c>
      <c r="J94" s="98">
        <f t="shared" si="24"/>
        <v>621750.12266258197</v>
      </c>
      <c r="K94" s="98">
        <f>-I94*Solar_DCF!$F$7</f>
        <v>-50783.697927315057</v>
      </c>
      <c r="L94" s="124">
        <f>-(K94*Solar_DCF!$F$9)</f>
        <v>0</v>
      </c>
      <c r="M94" s="98">
        <f>-Solar_DCF!$F$15*Solar_DCF!$F$23*E94*(1+Solar_DCF!$F$10)^A94</f>
        <v>-25516.847657140679</v>
      </c>
      <c r="N94" s="98">
        <f>M94*Solar_DCF!$F$9</f>
        <v>0</v>
      </c>
      <c r="O94" s="98">
        <f t="shared" ref="O94:O132" si="28">-E94*$H$22*$F$14*(1+$F$10)^A94</f>
        <v>0</v>
      </c>
      <c r="P94" s="98">
        <f t="shared" ref="P94:P132" si="29">O94*$F$9</f>
        <v>0</v>
      </c>
      <c r="Q94" s="124">
        <f t="shared" si="25"/>
        <v>-25516.847657140679</v>
      </c>
      <c r="R94" s="98">
        <f>-E94*Solar_DCF!$F$21*(1+Solar_DCF!$F$17)^(Solar_DCF!A94)</f>
        <v>-984960.93749999988</v>
      </c>
      <c r="S94" s="98">
        <f>-R94*Solar_DCF!$F$9</f>
        <v>0</v>
      </c>
      <c r="T94" s="124">
        <f t="shared" si="26"/>
        <v>-984960.93749999988</v>
      </c>
      <c r="U94" s="124">
        <f t="shared" ref="U94:U131" si="30">G94+H94+L94+Q94+T94+IF(AND(E94=1,E95=0),$F$24,0)</f>
        <v>-1116627.3327860744</v>
      </c>
      <c r="V94" s="68">
        <f t="shared" si="22"/>
        <v>-922832.50643477216</v>
      </c>
      <c r="AA94" s="140"/>
      <c r="AB94" s="88"/>
      <c r="AC94" s="140"/>
    </row>
    <row r="95" spans="1:29" ht="14.4" x14ac:dyDescent="0.3">
      <c r="A95" s="35">
        <f t="shared" si="23"/>
        <v>3</v>
      </c>
      <c r="B95" s="44">
        <f>1/(1+Solar_DCF!$F$8)^A95</f>
        <v>0.75131480090157754</v>
      </c>
      <c r="C95" s="36">
        <f>IF(A95&lt;(Solar_DCF!$F$6+1),1,0)</f>
        <v>1</v>
      </c>
      <c r="D95" s="36">
        <f>IF(A95&lt;(Solar_DCF!$F$11+1),1,0)</f>
        <v>1</v>
      </c>
      <c r="E95" s="36">
        <f>IF(A95&lt;(Solar_DCF!$F$12+1),1,0)</f>
        <v>1</v>
      </c>
      <c r="F95" s="98">
        <f xml:space="preserve"> -Solar_DCF!$F$32*D95</f>
        <v>-80957.676485078497</v>
      </c>
      <c r="G95" s="124">
        <f>-F95*Solar_DCF!$F$9</f>
        <v>0</v>
      </c>
      <c r="H95" s="124">
        <f>-Solar_DCF!$F$28*C95</f>
        <v>-106149.54762893375</v>
      </c>
      <c r="I95" s="98">
        <f t="shared" si="27"/>
        <v>621750.12266258197</v>
      </c>
      <c r="J95" s="98">
        <f t="shared" si="24"/>
        <v>562231.83423334185</v>
      </c>
      <c r="K95" s="98">
        <f>-I95*Solar_DCF!$F$7</f>
        <v>-46631.259199693646</v>
      </c>
      <c r="L95" s="124">
        <f>-(K95*Solar_DCF!$F$9)</f>
        <v>0</v>
      </c>
      <c r="M95" s="98">
        <f>-Solar_DCF!$F$15*Solar_DCF!$F$23*E95*(1+Solar_DCF!$F$10)^A95</f>
        <v>-26154.768848569194</v>
      </c>
      <c r="N95" s="98">
        <f>M95*Solar_DCF!$F$9</f>
        <v>0</v>
      </c>
      <c r="O95" s="98">
        <f t="shared" si="28"/>
        <v>0</v>
      </c>
      <c r="P95" s="98">
        <f t="shared" si="29"/>
        <v>0</v>
      </c>
      <c r="Q95" s="124">
        <f t="shared" si="25"/>
        <v>-26154.768848569194</v>
      </c>
      <c r="R95" s="98">
        <f>-E95*Solar_DCF!$F$21*(1+Solar_DCF!$F$17)^(Solar_DCF!A95)</f>
        <v>-1009584.9609374999</v>
      </c>
      <c r="S95" s="98">
        <f>-R95*Solar_DCF!$F$9</f>
        <v>0</v>
      </c>
      <c r="T95" s="124">
        <f t="shared" si="26"/>
        <v>-1009584.9609374999</v>
      </c>
      <c r="U95" s="124">
        <f t="shared" si="30"/>
        <v>-1141889.2774150029</v>
      </c>
      <c r="V95" s="68">
        <f t="shared" si="22"/>
        <v>-857918.31511269917</v>
      </c>
      <c r="AA95" s="140"/>
      <c r="AB95" s="88"/>
      <c r="AC95" s="140"/>
    </row>
    <row r="96" spans="1:29" ht="14.4" x14ac:dyDescent="0.3">
      <c r="A96" s="35">
        <f t="shared" si="23"/>
        <v>4</v>
      </c>
      <c r="B96" s="44">
        <f>1/(1+Solar_DCF!$F$8)^A96</f>
        <v>0.68301345536507052</v>
      </c>
      <c r="C96" s="36">
        <f>IF(A96&lt;(Solar_DCF!$F$6+1),1,0)</f>
        <v>1</v>
      </c>
      <c r="D96" s="36">
        <f>IF(A96&lt;(Solar_DCF!$F$11+1),1,0)</f>
        <v>1</v>
      </c>
      <c r="E96" s="36">
        <f>IF(A96&lt;(Solar_DCF!$F$12+1),1,0)</f>
        <v>1</v>
      </c>
      <c r="F96" s="98">
        <f xml:space="preserve"> -Solar_DCF!$F$32*D96</f>
        <v>-80957.676485078497</v>
      </c>
      <c r="G96" s="124">
        <f>-F96*Solar_DCF!$F$9</f>
        <v>0</v>
      </c>
      <c r="H96" s="124">
        <f>-Solar_DCF!$F$28*C96</f>
        <v>-106149.54762893375</v>
      </c>
      <c r="I96" s="98">
        <f t="shared" si="27"/>
        <v>562231.83423334185</v>
      </c>
      <c r="J96" s="98">
        <f t="shared" si="24"/>
        <v>498249.67417190876</v>
      </c>
      <c r="K96" s="98">
        <f>-I96*Solar_DCF!$F$7</f>
        <v>-42167.387567500635</v>
      </c>
      <c r="L96" s="124">
        <f>-(K96*Solar_DCF!$F$9)</f>
        <v>0</v>
      </c>
      <c r="M96" s="98">
        <f>-Solar_DCF!$F$15*Solar_DCF!$F$23*E96*(1+Solar_DCF!$F$10)^A96</f>
        <v>-26808.638069783425</v>
      </c>
      <c r="N96" s="98">
        <f>M96*Solar_DCF!$F$9</f>
        <v>0</v>
      </c>
      <c r="O96" s="98">
        <f t="shared" si="28"/>
        <v>0</v>
      </c>
      <c r="P96" s="98">
        <f t="shared" si="29"/>
        <v>0</v>
      </c>
      <c r="Q96" s="124">
        <f t="shared" si="25"/>
        <v>-26808.638069783425</v>
      </c>
      <c r="R96" s="98">
        <f>-E96*Solar_DCF!$F$21*(1+Solar_DCF!$F$17)^(Solar_DCF!A96)</f>
        <v>-1034824.5849609373</v>
      </c>
      <c r="S96" s="98">
        <f>-R96*Solar_DCF!$F$9</f>
        <v>0</v>
      </c>
      <c r="T96" s="124">
        <f t="shared" si="26"/>
        <v>-1034824.5849609373</v>
      </c>
      <c r="U96" s="124">
        <f t="shared" si="30"/>
        <v>-1167782.7706596544</v>
      </c>
      <c r="V96" s="68">
        <f t="shared" si="22"/>
        <v>-797611.34530404629</v>
      </c>
      <c r="AA96" s="140"/>
      <c r="AB96" s="88"/>
      <c r="AC96" s="140"/>
    </row>
    <row r="97" spans="1:29" ht="14.4" x14ac:dyDescent="0.3">
      <c r="A97" s="35">
        <f t="shared" si="23"/>
        <v>5</v>
      </c>
      <c r="B97" s="44">
        <f>1/(1+Solar_DCF!$F$8)^A97</f>
        <v>0.62092132305915493</v>
      </c>
      <c r="C97" s="36">
        <f>IF(A97&lt;(Solar_DCF!$F$6+1),1,0)</f>
        <v>1</v>
      </c>
      <c r="D97" s="36">
        <f>IF(A97&lt;(Solar_DCF!$F$11+1),1,0)</f>
        <v>1</v>
      </c>
      <c r="E97" s="36">
        <f>IF(A97&lt;(Solar_DCF!$F$12+1),1,0)</f>
        <v>1</v>
      </c>
      <c r="F97" s="98">
        <f xml:space="preserve"> -Solar_DCF!$F$32*D97</f>
        <v>-80957.676485078497</v>
      </c>
      <c r="G97" s="124">
        <f>-F97*Solar_DCF!$F$9</f>
        <v>0</v>
      </c>
      <c r="H97" s="124">
        <f>-Solar_DCF!$F$28*C97</f>
        <v>-106149.54762893375</v>
      </c>
      <c r="I97" s="98">
        <f t="shared" si="27"/>
        <v>498249.67417190876</v>
      </c>
      <c r="J97" s="98">
        <f t="shared" si="24"/>
        <v>429468.85210586817</v>
      </c>
      <c r="K97" s="98">
        <f>-I97*Solar_DCF!$F$7</f>
        <v>-37368.725562893153</v>
      </c>
      <c r="L97" s="124">
        <f>-(K97*Solar_DCF!$F$9)</f>
        <v>0</v>
      </c>
      <c r="M97" s="98">
        <f>-Solar_DCF!$F$15*Solar_DCF!$F$23*E97*(1+Solar_DCF!$F$10)^A97</f>
        <v>-27478.854021528005</v>
      </c>
      <c r="N97" s="98">
        <f>M97*Solar_DCF!$F$9</f>
        <v>0</v>
      </c>
      <c r="O97" s="98">
        <f t="shared" si="28"/>
        <v>0</v>
      </c>
      <c r="P97" s="98">
        <f t="shared" si="29"/>
        <v>0</v>
      </c>
      <c r="Q97" s="124">
        <f t="shared" si="25"/>
        <v>-27478.854021528005</v>
      </c>
      <c r="R97" s="98">
        <f>-E97*Solar_DCF!$F$21*(1+Solar_DCF!$F$17)^(Solar_DCF!A97)</f>
        <v>-1060695.1995849607</v>
      </c>
      <c r="S97" s="98">
        <f>-R97*Solar_DCF!$F$9</f>
        <v>0</v>
      </c>
      <c r="T97" s="124">
        <f t="shared" si="26"/>
        <v>-1060695.1995849607</v>
      </c>
      <c r="U97" s="124">
        <f t="shared" si="30"/>
        <v>-1194323.6012354225</v>
      </c>
      <c r="V97" s="68">
        <f t="shared" si="22"/>
        <v>-741580.99063987308</v>
      </c>
      <c r="AA97" s="140"/>
      <c r="AB97" s="88"/>
      <c r="AC97" s="140"/>
    </row>
    <row r="98" spans="1:29" ht="14.4" x14ac:dyDescent="0.3">
      <c r="A98" s="35">
        <f t="shared" si="23"/>
        <v>6</v>
      </c>
      <c r="B98" s="44">
        <f>1/(1+Solar_DCF!$F$8)^A98</f>
        <v>0.56447393005377722</v>
      </c>
      <c r="C98" s="36">
        <f>IF(A98&lt;(Solar_DCF!$F$6+1),1,0)</f>
        <v>1</v>
      </c>
      <c r="D98" s="36">
        <f>IF(A98&lt;(Solar_DCF!$F$11+1),1,0)</f>
        <v>1</v>
      </c>
      <c r="E98" s="36">
        <f>IF(A98&lt;(Solar_DCF!$F$12+1),1,0)</f>
        <v>1</v>
      </c>
      <c r="F98" s="98">
        <f xml:space="preserve"> -Solar_DCF!$F$32*D98</f>
        <v>-80957.676485078497</v>
      </c>
      <c r="G98" s="124">
        <f>-F98*Solar_DCF!$F$9</f>
        <v>0</v>
      </c>
      <c r="H98" s="124">
        <f>-Solar_DCF!$F$28*C98</f>
        <v>-106149.54762893375</v>
      </c>
      <c r="I98" s="98">
        <f t="shared" si="27"/>
        <v>429468.85210586817</v>
      </c>
      <c r="J98" s="98">
        <f t="shared" si="24"/>
        <v>355529.46838487452</v>
      </c>
      <c r="K98" s="98">
        <f>-I98*Solar_DCF!$F$7</f>
        <v>-32210.16390794011</v>
      </c>
      <c r="L98" s="124">
        <f>-(K98*Solar_DCF!$F$9)</f>
        <v>0</v>
      </c>
      <c r="M98" s="98">
        <f>-Solar_DCF!$F$15*Solar_DCF!$F$23*E98*(1+Solar_DCF!$F$10)^A98</f>
        <v>-28165.825372066203</v>
      </c>
      <c r="N98" s="98">
        <f>M98*Solar_DCF!$F$9</f>
        <v>0</v>
      </c>
      <c r="O98" s="98">
        <f t="shared" si="28"/>
        <v>0</v>
      </c>
      <c r="P98" s="98">
        <f t="shared" si="29"/>
        <v>0</v>
      </c>
      <c r="Q98" s="124">
        <f t="shared" si="25"/>
        <v>-28165.825372066203</v>
      </c>
      <c r="R98" s="98">
        <f>-E98*Solar_DCF!$F$21*(1+Solar_DCF!$F$17)^(Solar_DCF!A98)</f>
        <v>-1087212.5795745845</v>
      </c>
      <c r="S98" s="98">
        <f>-R98*Solar_DCF!$F$9</f>
        <v>0</v>
      </c>
      <c r="T98" s="124">
        <f t="shared" si="26"/>
        <v>-1087212.5795745845</v>
      </c>
      <c r="U98" s="124">
        <f t="shared" si="30"/>
        <v>-1221527.9525755844</v>
      </c>
      <c r="V98" s="68">
        <f t="shared" si="22"/>
        <v>-689520.68406088417</v>
      </c>
      <c r="AA98" s="140"/>
      <c r="AB98" s="88"/>
      <c r="AC98" s="140"/>
    </row>
    <row r="99" spans="1:29" ht="14.4" x14ac:dyDescent="0.3">
      <c r="A99" s="35">
        <f t="shared" si="23"/>
        <v>7</v>
      </c>
      <c r="B99" s="44">
        <f>1/(1+Solar_DCF!$F$8)^A99</f>
        <v>0.51315811823070645</v>
      </c>
      <c r="C99" s="36">
        <f>IF(A99&lt;(Solar_DCF!$F$6+1),1,0)</f>
        <v>1</v>
      </c>
      <c r="D99" s="36">
        <f>IF(A99&lt;(Solar_DCF!$F$11+1),1,0)</f>
        <v>1</v>
      </c>
      <c r="E99" s="36">
        <f>IF(A99&lt;(Solar_DCF!$F$12+1),1,0)</f>
        <v>1</v>
      </c>
      <c r="F99" s="98">
        <f xml:space="preserve"> -Solar_DCF!$F$32*D99</f>
        <v>-80957.676485078497</v>
      </c>
      <c r="G99" s="124">
        <f>-F99*Solar_DCF!$F$9</f>
        <v>0</v>
      </c>
      <c r="H99" s="124">
        <f>-Solar_DCF!$F$28*C99</f>
        <v>-106149.54762893375</v>
      </c>
      <c r="I99" s="98">
        <f t="shared" si="27"/>
        <v>355529.46838487452</v>
      </c>
      <c r="J99" s="98">
        <f t="shared" si="24"/>
        <v>276044.63088480639</v>
      </c>
      <c r="K99" s="98">
        <f>-I99*Solar_DCF!$F$7</f>
        <v>-26664.710128865587</v>
      </c>
      <c r="L99" s="124">
        <f>-(K99*Solar_DCF!$F$9)</f>
        <v>0</v>
      </c>
      <c r="M99" s="98">
        <f>-Solar_DCF!$F$15*Solar_DCF!$F$23*E99*(1+Solar_DCF!$F$10)^A99</f>
        <v>-28869.971006367861</v>
      </c>
      <c r="N99" s="98">
        <f>M99*Solar_DCF!$F$9</f>
        <v>0</v>
      </c>
      <c r="O99" s="98">
        <f t="shared" si="28"/>
        <v>0</v>
      </c>
      <c r="P99" s="98">
        <f t="shared" si="29"/>
        <v>0</v>
      </c>
      <c r="Q99" s="124">
        <f t="shared" si="25"/>
        <v>-28869.971006367861</v>
      </c>
      <c r="R99" s="98">
        <f>-E99*Solar_DCF!$F$21*(1+Solar_DCF!$F$17)^(Solar_DCF!A99)</f>
        <v>-1114392.8940639491</v>
      </c>
      <c r="S99" s="98">
        <f>-R99*Solar_DCF!$F$9</f>
        <v>0</v>
      </c>
      <c r="T99" s="124">
        <f t="shared" si="26"/>
        <v>-1114392.8940639491</v>
      </c>
      <c r="U99" s="124">
        <f t="shared" si="30"/>
        <v>-1249412.4126992507</v>
      </c>
      <c r="V99" s="68">
        <f t="shared" si="22"/>
        <v>-641146.12259483431</v>
      </c>
      <c r="AA99" s="140"/>
      <c r="AB99" s="88"/>
      <c r="AC99" s="140"/>
    </row>
    <row r="100" spans="1:29" ht="14.4" x14ac:dyDescent="0.3">
      <c r="A100" s="35">
        <f t="shared" si="23"/>
        <v>8</v>
      </c>
      <c r="B100" s="44">
        <f>1/(1+Solar_DCF!$F$8)^A100</f>
        <v>0.46650738020973315</v>
      </c>
      <c r="C100" s="36">
        <f>IF(A100&lt;(Solar_DCF!$F$6+1),1,0)</f>
        <v>1</v>
      </c>
      <c r="D100" s="36">
        <f>IF(A100&lt;(Solar_DCF!$F$11+1),1,0)</f>
        <v>1</v>
      </c>
      <c r="E100" s="36">
        <f>IF(A100&lt;(Solar_DCF!$F$12+1),1,0)</f>
        <v>1</v>
      </c>
      <c r="F100" s="98">
        <f xml:space="preserve"> -Solar_DCF!$F$32*D100</f>
        <v>-80957.676485078497</v>
      </c>
      <c r="G100" s="124">
        <f>-F100*Solar_DCF!$F$9</f>
        <v>0</v>
      </c>
      <c r="H100" s="124">
        <f>-Solar_DCF!$F$28*C100</f>
        <v>-106149.54762893375</v>
      </c>
      <c r="I100" s="98">
        <f t="shared" si="27"/>
        <v>276044.63088480639</v>
      </c>
      <c r="J100" s="98">
        <f t="shared" si="24"/>
        <v>190598.43057223313</v>
      </c>
      <c r="K100" s="98">
        <f>-I100*Solar_DCF!$F$7</f>
        <v>-20703.347316360479</v>
      </c>
      <c r="L100" s="124">
        <f>-(K100*Solar_DCF!$F$9)</f>
        <v>0</v>
      </c>
      <c r="M100" s="98">
        <f>-Solar_DCF!$F$15*Solar_DCF!$F$23*E100*(1+Solar_DCF!$F$10)^A100</f>
        <v>-29591.720281527054</v>
      </c>
      <c r="N100" s="98">
        <f>M100*Solar_DCF!$F$9</f>
        <v>0</v>
      </c>
      <c r="O100" s="98">
        <f t="shared" si="28"/>
        <v>0</v>
      </c>
      <c r="P100" s="98">
        <f t="shared" si="29"/>
        <v>0</v>
      </c>
      <c r="Q100" s="124">
        <f t="shared" si="25"/>
        <v>-29591.720281527054</v>
      </c>
      <c r="R100" s="98">
        <f>-E100*Solar_DCF!$F$21*(1+Solar_DCF!$F$17)^(Solar_DCF!A100)</f>
        <v>-1142252.7164155478</v>
      </c>
      <c r="S100" s="98">
        <f>-R100*Solar_DCF!$F$9</f>
        <v>0</v>
      </c>
      <c r="T100" s="124">
        <f t="shared" si="26"/>
        <v>-1142252.7164155478</v>
      </c>
      <c r="U100" s="124">
        <f t="shared" si="30"/>
        <v>-1277993.9843260085</v>
      </c>
      <c r="V100" s="68">
        <f t="shared" si="22"/>
        <v>-596193.62555172492</v>
      </c>
      <c r="AA100" s="140"/>
      <c r="AB100" s="88"/>
      <c r="AC100" s="140"/>
    </row>
    <row r="101" spans="1:29" ht="14.4" x14ac:dyDescent="0.3">
      <c r="A101" s="35">
        <f t="shared" si="23"/>
        <v>9</v>
      </c>
      <c r="B101" s="44">
        <f>1/(1+Solar_DCF!$F$8)^A101</f>
        <v>0.42409761837248466</v>
      </c>
      <c r="C101" s="36">
        <f>IF(A101&lt;(Solar_DCF!$F$6+1),1,0)</f>
        <v>1</v>
      </c>
      <c r="D101" s="36">
        <f>IF(A101&lt;(Solar_DCF!$F$11+1),1,0)</f>
        <v>1</v>
      </c>
      <c r="E101" s="36">
        <f>IF(A101&lt;(Solar_DCF!$F$12+1),1,0)</f>
        <v>1</v>
      </c>
      <c r="F101" s="98">
        <f xml:space="preserve"> -Solar_DCF!$F$32*D101</f>
        <v>-80957.676485078497</v>
      </c>
      <c r="G101" s="124">
        <f>-F101*Solar_DCF!$F$9</f>
        <v>0</v>
      </c>
      <c r="H101" s="124">
        <f>-Solar_DCF!$F$28*C101</f>
        <v>-106149.54762893375</v>
      </c>
      <c r="I101" s="98">
        <f t="shared" si="27"/>
        <v>190598.43057223313</v>
      </c>
      <c r="J101" s="98">
        <f t="shared" si="24"/>
        <v>98743.765236216859</v>
      </c>
      <c r="K101" s="98">
        <f>-I101*Solar_DCF!$F$7</f>
        <v>-14294.882292917484</v>
      </c>
      <c r="L101" s="124">
        <f>-(K101*Solar_DCF!$F$9)</f>
        <v>0</v>
      </c>
      <c r="M101" s="98">
        <f>-Solar_DCF!$F$15*Solar_DCF!$F$23*E101*(1+Solar_DCF!$F$10)^A101</f>
        <v>-30331.513288565227</v>
      </c>
      <c r="N101" s="98">
        <f>M101*Solar_DCF!$F$9</f>
        <v>0</v>
      </c>
      <c r="O101" s="98">
        <f t="shared" si="28"/>
        <v>0</v>
      </c>
      <c r="P101" s="98">
        <f t="shared" si="29"/>
        <v>0</v>
      </c>
      <c r="Q101" s="124">
        <f t="shared" si="25"/>
        <v>-30331.513288565227</v>
      </c>
      <c r="R101" s="98">
        <f>-E101*Solar_DCF!$F$21*(1+Solar_DCF!$F$17)^(Solar_DCF!A101)</f>
        <v>-1170809.0343259363</v>
      </c>
      <c r="S101" s="98">
        <f>-R101*Solar_DCF!$F$9</f>
        <v>0</v>
      </c>
      <c r="T101" s="124">
        <f t="shared" si="26"/>
        <v>-1170809.0343259363</v>
      </c>
      <c r="U101" s="124">
        <f t="shared" si="30"/>
        <v>-1307290.0952434354</v>
      </c>
      <c r="V101" s="68">
        <f t="shared" si="22"/>
        <v>-554418.6159146796</v>
      </c>
      <c r="AA101" s="140"/>
      <c r="AB101" s="88"/>
      <c r="AC101" s="140"/>
    </row>
    <row r="102" spans="1:29" ht="14.4" x14ac:dyDescent="0.3">
      <c r="A102" s="35">
        <f t="shared" si="23"/>
        <v>10</v>
      </c>
      <c r="B102" s="44">
        <f>1/(1+Solar_DCF!$F$8)^A102</f>
        <v>0.38554328942953148</v>
      </c>
      <c r="C102" s="36">
        <f>IF(A102&lt;(Solar_DCF!$F$6+1),1,0)</f>
        <v>1</v>
      </c>
      <c r="D102" s="36">
        <f>IF(A102&lt;(Solar_DCF!$F$11+1),1,0)</f>
        <v>1</v>
      </c>
      <c r="E102" s="36">
        <f>IF(A102&lt;(Solar_DCF!$F$12+1),1,0)</f>
        <v>1</v>
      </c>
      <c r="F102" s="98">
        <f xml:space="preserve"> -Solar_DCF!$F$32*D102</f>
        <v>-80957.676485078497</v>
      </c>
      <c r="G102" s="124">
        <f>-F102*Solar_DCF!$F$9</f>
        <v>0</v>
      </c>
      <c r="H102" s="124">
        <f>-Solar_DCF!$F$28*C102</f>
        <v>-106149.54762893375</v>
      </c>
      <c r="I102" s="98">
        <f t="shared" si="27"/>
        <v>98743.765236216859</v>
      </c>
      <c r="J102" s="98">
        <f t="shared" si="24"/>
        <v>-6.2937033362686634E-10</v>
      </c>
      <c r="K102" s="98">
        <f>-I102*Solar_DCF!$F$7</f>
        <v>-7405.7823927162644</v>
      </c>
      <c r="L102" s="124">
        <f>-(K102*Solar_DCF!$F$9)</f>
        <v>0</v>
      </c>
      <c r="M102" s="98">
        <f>-Solar_DCF!$F$15*Solar_DCF!$F$23*E102*(1+Solar_DCF!$F$10)^A102</f>
        <v>-31089.801120779357</v>
      </c>
      <c r="N102" s="98">
        <f>M102*Solar_DCF!$F$9</f>
        <v>0</v>
      </c>
      <c r="O102" s="98">
        <f t="shared" si="28"/>
        <v>0</v>
      </c>
      <c r="P102" s="98">
        <f t="shared" si="29"/>
        <v>0</v>
      </c>
      <c r="Q102" s="124">
        <f t="shared" si="25"/>
        <v>-31089.801120779357</v>
      </c>
      <c r="R102" s="98">
        <f>-E102*Solar_DCF!$F$21*(1+Solar_DCF!$F$17)^(Solar_DCF!A102)</f>
        <v>-1200079.2601840848</v>
      </c>
      <c r="S102" s="98">
        <f>-R102*Solar_DCF!$F$9</f>
        <v>0</v>
      </c>
      <c r="T102" s="124">
        <f t="shared" si="26"/>
        <v>-1200079.2601840848</v>
      </c>
      <c r="U102" s="124">
        <f t="shared" si="30"/>
        <v>-1337318.6089337978</v>
      </c>
      <c r="V102" s="68">
        <f t="shared" si="22"/>
        <v>-515594.2155036616</v>
      </c>
      <c r="AA102" s="140"/>
      <c r="AB102" s="88"/>
      <c r="AC102" s="140"/>
    </row>
    <row r="103" spans="1:29" ht="14.4" x14ac:dyDescent="0.3">
      <c r="A103" s="35">
        <f t="shared" si="23"/>
        <v>11</v>
      </c>
      <c r="B103" s="44">
        <f>1/(1+Solar_DCF!$F$8)^A103</f>
        <v>0.3504938994813922</v>
      </c>
      <c r="C103" s="36">
        <f>IF(A103&lt;(Solar_DCF!$F$6+1),1,0)</f>
        <v>0</v>
      </c>
      <c r="D103" s="36">
        <f>IF(A103&lt;(Solar_DCF!$F$11+1),1,0)</f>
        <v>1</v>
      </c>
      <c r="E103" s="36">
        <f>IF(A103&lt;(Solar_DCF!$F$12+1),1,0)</f>
        <v>1</v>
      </c>
      <c r="F103" s="98">
        <f xml:space="preserve"> -Solar_DCF!$F$32*D103</f>
        <v>-80957.676485078497</v>
      </c>
      <c r="G103" s="124">
        <f>-F103*Solar_DCF!$F$9</f>
        <v>0</v>
      </c>
      <c r="H103" s="124">
        <f>-Solar_DCF!$F$28*C103</f>
        <v>0</v>
      </c>
      <c r="I103" s="98">
        <f t="shared" si="27"/>
        <v>-6.2937033362686634E-10</v>
      </c>
      <c r="J103" s="98">
        <f t="shared" si="24"/>
        <v>-6.765731086488813E-10</v>
      </c>
      <c r="K103" s="98">
        <f>-I103*Solar_DCF!$F$7</f>
        <v>4.7202775022014974E-11</v>
      </c>
      <c r="L103" s="124">
        <f>-(K103*Solar_DCF!$F$9)</f>
        <v>0</v>
      </c>
      <c r="M103" s="98">
        <f>-Solar_DCF!$F$15*Solar_DCF!$F$23*E103*(1+Solar_DCF!$F$10)^A103</f>
        <v>-31867.04614879884</v>
      </c>
      <c r="N103" s="98">
        <f>M103*Solar_DCF!$F$9</f>
        <v>0</v>
      </c>
      <c r="O103" s="98">
        <f t="shared" si="28"/>
        <v>0</v>
      </c>
      <c r="P103" s="98">
        <f t="shared" si="29"/>
        <v>0</v>
      </c>
      <c r="Q103" s="124">
        <f t="shared" si="25"/>
        <v>-31867.04614879884</v>
      </c>
      <c r="R103" s="98">
        <f>-E103*Solar_DCF!$F$21*(1+Solar_DCF!$F$17)^(Solar_DCF!A103)</f>
        <v>-1230081.2416886869</v>
      </c>
      <c r="S103" s="98">
        <f>-R103*Solar_DCF!$F$9</f>
        <v>0</v>
      </c>
      <c r="T103" s="124">
        <f t="shared" si="26"/>
        <v>-1230081.2416886869</v>
      </c>
      <c r="U103" s="124">
        <f t="shared" si="30"/>
        <v>-1261948.2878374858</v>
      </c>
      <c r="V103" s="68">
        <f t="shared" si="22"/>
        <v>-442305.17634802673</v>
      </c>
      <c r="AA103" s="140"/>
      <c r="AB103" s="88"/>
      <c r="AC103" s="140"/>
    </row>
    <row r="104" spans="1:29" ht="14.4" x14ac:dyDescent="0.3">
      <c r="A104" s="35">
        <f t="shared" si="23"/>
        <v>12</v>
      </c>
      <c r="B104" s="44">
        <f>1/(1+Solar_DCF!$F$8)^A104</f>
        <v>0.31863081771035656</v>
      </c>
      <c r="C104" s="36">
        <f>IF(A104&lt;(Solar_DCF!$F$6+1),1,0)</f>
        <v>0</v>
      </c>
      <c r="D104" s="36">
        <f>IF(A104&lt;(Solar_DCF!$F$11+1),1,0)</f>
        <v>1</v>
      </c>
      <c r="E104" s="36">
        <f>IF(A104&lt;(Solar_DCF!$F$12+1),1,0)</f>
        <v>1</v>
      </c>
      <c r="F104" s="98">
        <f xml:space="preserve"> -Solar_DCF!$F$32*D104</f>
        <v>-80957.676485078497</v>
      </c>
      <c r="G104" s="124">
        <f>-F104*Solar_DCF!$F$9</f>
        <v>0</v>
      </c>
      <c r="H104" s="124">
        <f>-Solar_DCF!$F$28*C104</f>
        <v>0</v>
      </c>
      <c r="I104" s="98">
        <f t="shared" si="27"/>
        <v>-6.765731086488813E-10</v>
      </c>
      <c r="J104" s="98">
        <f t="shared" si="24"/>
        <v>-7.2731609179754741E-10</v>
      </c>
      <c r="K104" s="98">
        <f>-I104*Solar_DCF!$F$7</f>
        <v>5.0742983148666096E-11</v>
      </c>
      <c r="L104" s="124">
        <f>-(K104*Solar_DCF!$F$9)</f>
        <v>0</v>
      </c>
      <c r="M104" s="98">
        <f>-Solar_DCF!$F$15*Solar_DCF!$F$23*E104*(1+Solar_DCF!$F$10)^A104</f>
        <v>-32663.722302518807</v>
      </c>
      <c r="N104" s="98">
        <f>M104*Solar_DCF!$F$9</f>
        <v>0</v>
      </c>
      <c r="O104" s="98">
        <f t="shared" si="28"/>
        <v>0</v>
      </c>
      <c r="P104" s="98">
        <f t="shared" si="29"/>
        <v>0</v>
      </c>
      <c r="Q104" s="124">
        <f t="shared" si="25"/>
        <v>-32663.722302518807</v>
      </c>
      <c r="R104" s="98">
        <f>-E104*Solar_DCF!$F$21*(1+Solar_DCF!$F$17)^(Solar_DCF!A104)</f>
        <v>-1260833.2727309039</v>
      </c>
      <c r="S104" s="98">
        <f>-R104*Solar_DCF!$F$9</f>
        <v>0</v>
      </c>
      <c r="T104" s="124">
        <f t="shared" si="26"/>
        <v>-1260833.2727309039</v>
      </c>
      <c r="U104" s="124">
        <f t="shared" si="30"/>
        <v>-1293496.9950334227</v>
      </c>
      <c r="V104" s="68">
        <f t="shared" si="22"/>
        <v>-412148.00523338851</v>
      </c>
      <c r="AA104" s="140"/>
      <c r="AB104" s="88"/>
      <c r="AC104" s="140"/>
    </row>
    <row r="105" spans="1:29" ht="14.4" x14ac:dyDescent="0.3">
      <c r="A105" s="35">
        <f t="shared" si="23"/>
        <v>13</v>
      </c>
      <c r="B105" s="44">
        <f>1/(1+Solar_DCF!$F$8)^A105</f>
        <v>0.28966437973668779</v>
      </c>
      <c r="C105" s="36">
        <f>IF(A105&lt;(Solar_DCF!$F$6+1),1,0)</f>
        <v>0</v>
      </c>
      <c r="D105" s="36">
        <f>IF(A105&lt;(Solar_DCF!$F$11+1),1,0)</f>
        <v>1</v>
      </c>
      <c r="E105" s="36">
        <f>IF(A105&lt;(Solar_DCF!$F$12+1),1,0)</f>
        <v>1</v>
      </c>
      <c r="F105" s="98">
        <f xml:space="preserve"> -Solar_DCF!$F$32*D105</f>
        <v>-80957.676485078497</v>
      </c>
      <c r="G105" s="124">
        <f>-F105*Solar_DCF!$F$9</f>
        <v>0</v>
      </c>
      <c r="H105" s="124">
        <f>-Solar_DCF!$F$28*C105</f>
        <v>0</v>
      </c>
      <c r="I105" s="98">
        <f t="shared" si="27"/>
        <v>-7.2731609179754741E-10</v>
      </c>
      <c r="J105" s="98">
        <f t="shared" si="24"/>
        <v>-7.8186479868236343E-10</v>
      </c>
      <c r="K105" s="98">
        <f>-I105*Solar_DCF!$F$7</f>
        <v>5.4548706884816055E-11</v>
      </c>
      <c r="L105" s="124">
        <f>-(K105*Solar_DCF!$F$9)</f>
        <v>0</v>
      </c>
      <c r="M105" s="98">
        <f>-Solar_DCF!$F$15*Solar_DCF!$F$23*E105*(1+Solar_DCF!$F$10)^A105</f>
        <v>-33480.315360081775</v>
      </c>
      <c r="N105" s="98">
        <f>M105*Solar_DCF!$F$9</f>
        <v>0</v>
      </c>
      <c r="O105" s="98">
        <f t="shared" si="28"/>
        <v>0</v>
      </c>
      <c r="P105" s="98">
        <f t="shared" si="29"/>
        <v>0</v>
      </c>
      <c r="Q105" s="124">
        <f t="shared" si="25"/>
        <v>-33480.315360081775</v>
      </c>
      <c r="R105" s="98">
        <f>-E105*Solar_DCF!$F$21*(1+Solar_DCF!$F$17)^(Solar_DCF!A105)</f>
        <v>-1292354.1045491765</v>
      </c>
      <c r="S105" s="98">
        <f>-R105*Solar_DCF!$F$9</f>
        <v>0</v>
      </c>
      <c r="T105" s="124">
        <f t="shared" si="26"/>
        <v>-1292354.1045491765</v>
      </c>
      <c r="U105" s="124">
        <f t="shared" si="30"/>
        <v>-1325834.4199092584</v>
      </c>
      <c r="V105" s="68">
        <f t="shared" si="22"/>
        <v>-384047.00487656659</v>
      </c>
      <c r="AA105" s="140"/>
      <c r="AB105" s="88"/>
      <c r="AC105" s="140"/>
    </row>
    <row r="106" spans="1:29" ht="14.4" x14ac:dyDescent="0.3">
      <c r="A106" s="35">
        <f t="shared" si="23"/>
        <v>14</v>
      </c>
      <c r="B106" s="44">
        <f>1/(1+Solar_DCF!$F$8)^A106</f>
        <v>0.26333125430607973</v>
      </c>
      <c r="C106" s="36">
        <f>IF(A106&lt;(Solar_DCF!$F$6+1),1,0)</f>
        <v>0</v>
      </c>
      <c r="D106" s="36">
        <f>IF(A106&lt;(Solar_DCF!$F$11+1),1,0)</f>
        <v>1</v>
      </c>
      <c r="E106" s="36">
        <f>IF(A106&lt;(Solar_DCF!$F$12+1),1,0)</f>
        <v>1</v>
      </c>
      <c r="F106" s="98">
        <f xml:space="preserve"> -Solar_DCF!$F$32*D106</f>
        <v>-80957.676485078497</v>
      </c>
      <c r="G106" s="124">
        <f>-F106*Solar_DCF!$F$9</f>
        <v>0</v>
      </c>
      <c r="H106" s="124">
        <f>-Solar_DCF!$F$28*C106</f>
        <v>0</v>
      </c>
      <c r="I106" s="98">
        <f t="shared" si="27"/>
        <v>-7.8186479868236343E-10</v>
      </c>
      <c r="J106" s="98">
        <f t="shared" si="24"/>
        <v>-8.405046585835407E-10</v>
      </c>
      <c r="K106" s="98">
        <f>-I106*Solar_DCF!$F$7</f>
        <v>5.863985990117725E-11</v>
      </c>
      <c r="L106" s="124">
        <f>-(K106*Solar_DCF!$F$9)</f>
        <v>0</v>
      </c>
      <c r="M106" s="98">
        <f>-Solar_DCF!$F$15*Solar_DCF!$F$23*E106*(1+Solar_DCF!$F$10)^A106</f>
        <v>-34317.323244083818</v>
      </c>
      <c r="N106" s="98">
        <f>M106*Solar_DCF!$F$9</f>
        <v>0</v>
      </c>
      <c r="O106" s="98">
        <f t="shared" si="28"/>
        <v>0</v>
      </c>
      <c r="P106" s="98">
        <f t="shared" si="29"/>
        <v>0</v>
      </c>
      <c r="Q106" s="124">
        <f t="shared" si="25"/>
        <v>-34317.323244083818</v>
      </c>
      <c r="R106" s="98">
        <f>-E106*Solar_DCF!$F$21*(1+Solar_DCF!$F$17)^(Solar_DCF!A106)</f>
        <v>-1324662.9571629057</v>
      </c>
      <c r="S106" s="98">
        <f>-R106*Solar_DCF!$F$9</f>
        <v>0</v>
      </c>
      <c r="T106" s="124">
        <f t="shared" si="26"/>
        <v>-1324662.9571629057</v>
      </c>
      <c r="U106" s="124">
        <f t="shared" si="30"/>
        <v>-1358980.2804069896</v>
      </c>
      <c r="V106" s="68">
        <f t="shared" si="22"/>
        <v>-357861.98181680054</v>
      </c>
      <c r="AA106" s="140"/>
      <c r="AB106" s="88"/>
      <c r="AC106" s="140"/>
    </row>
    <row r="107" spans="1:29" ht="14.4" x14ac:dyDescent="0.3">
      <c r="A107" s="35">
        <f t="shared" si="23"/>
        <v>15</v>
      </c>
      <c r="B107" s="44">
        <f>1/(1+Solar_DCF!$F$8)^A107</f>
        <v>0.23939204936916339</v>
      </c>
      <c r="C107" s="36">
        <f>IF(A107&lt;(Solar_DCF!$F$6+1),1,0)</f>
        <v>0</v>
      </c>
      <c r="D107" s="36">
        <f>IF(A107&lt;(Solar_DCF!$F$11+1),1,0)</f>
        <v>1</v>
      </c>
      <c r="E107" s="36">
        <f>IF(A107&lt;(Solar_DCF!$F$12+1),1,0)</f>
        <v>1</v>
      </c>
      <c r="F107" s="98">
        <f xml:space="preserve"> -Solar_DCF!$F$32*D107</f>
        <v>-80957.676485078497</v>
      </c>
      <c r="G107" s="124">
        <f>-F107*Solar_DCF!$F$9</f>
        <v>0</v>
      </c>
      <c r="H107" s="124">
        <f>-Solar_DCF!$F$28*C107</f>
        <v>0</v>
      </c>
      <c r="I107" s="98">
        <f t="shared" si="27"/>
        <v>-8.405046585835407E-10</v>
      </c>
      <c r="J107" s="98">
        <f t="shared" si="24"/>
        <v>-9.0354250797730629E-10</v>
      </c>
      <c r="K107" s="98">
        <f>-I107*Solar_DCF!$F$7</f>
        <v>6.3037849393765555E-11</v>
      </c>
      <c r="L107" s="124">
        <f>-(K107*Solar_DCF!$F$9)</f>
        <v>0</v>
      </c>
      <c r="M107" s="98">
        <f>-Solar_DCF!$F$15*Solar_DCF!$F$23*E107*(1+Solar_DCF!$F$10)^A107</f>
        <v>-35175.256325185917</v>
      </c>
      <c r="N107" s="98">
        <f>M107*Solar_DCF!$F$9</f>
        <v>0</v>
      </c>
      <c r="O107" s="98">
        <f t="shared" si="28"/>
        <v>0</v>
      </c>
      <c r="P107" s="98">
        <f t="shared" si="29"/>
        <v>0</v>
      </c>
      <c r="Q107" s="124">
        <f t="shared" si="25"/>
        <v>-35175.256325185917</v>
      </c>
      <c r="R107" s="98">
        <f>-E107*Solar_DCF!$F$21*(1+Solar_DCF!$F$17)^(Solar_DCF!A107)</f>
        <v>-1357779.5310919785</v>
      </c>
      <c r="S107" s="98">
        <f>-R107*Solar_DCF!$F$9</f>
        <v>0</v>
      </c>
      <c r="T107" s="124">
        <f t="shared" si="26"/>
        <v>-1357779.5310919785</v>
      </c>
      <c r="U107" s="124">
        <f t="shared" si="30"/>
        <v>-1392954.7874171645</v>
      </c>
      <c r="V107" s="68">
        <f t="shared" si="22"/>
        <v>-333462.30123838235</v>
      </c>
      <c r="AA107" s="140"/>
      <c r="AB107" s="88"/>
      <c r="AC107" s="140"/>
    </row>
    <row r="108" spans="1:29" ht="14.4" x14ac:dyDescent="0.3">
      <c r="A108" s="35">
        <f t="shared" si="23"/>
        <v>16</v>
      </c>
      <c r="B108" s="44">
        <f>1/(1+Solar_DCF!$F$8)^A108</f>
        <v>0.21762913579014853</v>
      </c>
      <c r="C108" s="36">
        <f>IF(A108&lt;(Solar_DCF!$F$6+1),1,0)</f>
        <v>0</v>
      </c>
      <c r="D108" s="36">
        <f>IF(A108&lt;(Solar_DCF!$F$11+1),1,0)</f>
        <v>0</v>
      </c>
      <c r="E108" s="36">
        <f>IF(A108&lt;(Solar_DCF!$F$12+1),1,0)</f>
        <v>1</v>
      </c>
      <c r="F108" s="98">
        <f xml:space="preserve"> -Solar_DCF!$F$32*D108</f>
        <v>0</v>
      </c>
      <c r="G108" s="124">
        <f>-F108*Solar_DCF!$F$9</f>
        <v>0</v>
      </c>
      <c r="H108" s="124">
        <f>-Solar_DCF!$F$28*C108</f>
        <v>0</v>
      </c>
      <c r="I108" s="98">
        <f t="shared" si="27"/>
        <v>-9.0354250797730629E-10</v>
      </c>
      <c r="J108" s="98">
        <f t="shared" si="24"/>
        <v>-9.713081960756042E-10</v>
      </c>
      <c r="K108" s="98">
        <f>-I108*Solar_DCF!$F$7</f>
        <v>6.7765688098297964E-11</v>
      </c>
      <c r="L108" s="124">
        <f>-(K108*Solar_DCF!$F$9)</f>
        <v>0</v>
      </c>
      <c r="M108" s="98">
        <f>-Solar_DCF!$F$15*Solar_DCF!$F$23*E108*(1+Solar_DCF!$F$10)^A108</f>
        <v>-36054.637733315561</v>
      </c>
      <c r="N108" s="98">
        <f>M108*Solar_DCF!$F$9</f>
        <v>0</v>
      </c>
      <c r="O108" s="98">
        <f t="shared" si="28"/>
        <v>0</v>
      </c>
      <c r="P108" s="98">
        <f t="shared" si="29"/>
        <v>0</v>
      </c>
      <c r="Q108" s="124">
        <f t="shared" si="25"/>
        <v>-36054.637733315561</v>
      </c>
      <c r="R108" s="98">
        <f>-E108*Solar_DCF!$F$21*(1+Solar_DCF!$F$17)^(Solar_DCF!A108)</f>
        <v>-1391724.0193692779</v>
      </c>
      <c r="S108" s="98">
        <f>-R108*Solar_DCF!$F$9</f>
        <v>0</v>
      </c>
      <c r="T108" s="124">
        <f t="shared" si="26"/>
        <v>-1391724.0193692779</v>
      </c>
      <c r="U108" s="124">
        <f t="shared" si="30"/>
        <v>-1427778.6571025935</v>
      </c>
      <c r="V108" s="68">
        <f t="shared" si="22"/>
        <v>-310726.23524485622</v>
      </c>
      <c r="AA108" s="140"/>
      <c r="AB108" s="88"/>
      <c r="AC108" s="140"/>
    </row>
    <row r="109" spans="1:29" ht="14.4" x14ac:dyDescent="0.3">
      <c r="A109" s="35">
        <f t="shared" si="23"/>
        <v>17</v>
      </c>
      <c r="B109" s="44">
        <f>1/(1+Solar_DCF!$F$8)^A109</f>
        <v>0.19784466890013502</v>
      </c>
      <c r="C109" s="36">
        <f>IF(A109&lt;(Solar_DCF!$F$6+1),1,0)</f>
        <v>0</v>
      </c>
      <c r="D109" s="36">
        <f>IF(A109&lt;(Solar_DCF!$F$11+1),1,0)</f>
        <v>0</v>
      </c>
      <c r="E109" s="36">
        <f>IF(A109&lt;(Solar_DCF!$F$12+1),1,0)</f>
        <v>1</v>
      </c>
      <c r="F109" s="98">
        <f xml:space="preserve"> -Solar_DCF!$F$32*D109</f>
        <v>0</v>
      </c>
      <c r="G109" s="124">
        <f>-F109*Solar_DCF!$F$9</f>
        <v>0</v>
      </c>
      <c r="H109" s="124">
        <f>-Solar_DCF!$F$28*C109</f>
        <v>0</v>
      </c>
      <c r="I109" s="98">
        <f t="shared" si="27"/>
        <v>-9.713081960756042E-10</v>
      </c>
      <c r="J109" s="98">
        <f t="shared" si="24"/>
        <v>-1.0441563107812745E-9</v>
      </c>
      <c r="K109" s="98">
        <f>-I109*Solar_DCF!$F$7</f>
        <v>7.284811470567031E-11</v>
      </c>
      <c r="L109" s="124">
        <f>-(K109*Solar_DCF!$F$9)</f>
        <v>0</v>
      </c>
      <c r="M109" s="98">
        <f>-Solar_DCF!$F$15*Solar_DCF!$F$23*E109*(1+Solar_DCF!$F$10)^A109</f>
        <v>-36956.003676648448</v>
      </c>
      <c r="N109" s="98">
        <f>M109*Solar_DCF!$F$9</f>
        <v>0</v>
      </c>
      <c r="O109" s="98">
        <f t="shared" si="28"/>
        <v>0</v>
      </c>
      <c r="P109" s="98">
        <f t="shared" si="29"/>
        <v>0</v>
      </c>
      <c r="Q109" s="124">
        <f t="shared" si="25"/>
        <v>-36956.003676648448</v>
      </c>
      <c r="R109" s="98">
        <f>-E109*Solar_DCF!$F$21*(1+Solar_DCF!$F$17)^(Solar_DCF!A109)</f>
        <v>-1426517.1198535096</v>
      </c>
      <c r="S109" s="98">
        <f>-R109*Solar_DCF!$F$9</f>
        <v>0</v>
      </c>
      <c r="T109" s="124">
        <f t="shared" si="26"/>
        <v>-1426517.1198535096</v>
      </c>
      <c r="U109" s="124">
        <f t="shared" si="30"/>
        <v>-1463473.1235301581</v>
      </c>
      <c r="V109" s="68">
        <f t="shared" si="22"/>
        <v>-289540.35556907055</v>
      </c>
      <c r="AA109" s="140"/>
      <c r="AB109" s="88"/>
      <c r="AC109" s="140"/>
    </row>
    <row r="110" spans="1:29" ht="14.4" x14ac:dyDescent="0.3">
      <c r="A110" s="35">
        <f t="shared" si="23"/>
        <v>18</v>
      </c>
      <c r="B110" s="44">
        <f>1/(1+Solar_DCF!$F$8)^A110</f>
        <v>0.17985878990921364</v>
      </c>
      <c r="C110" s="36">
        <f>IF(A110&lt;(Solar_DCF!$F$6+1),1,0)</f>
        <v>0</v>
      </c>
      <c r="D110" s="36">
        <f>IF(A110&lt;(Solar_DCF!$F$11+1),1,0)</f>
        <v>0</v>
      </c>
      <c r="E110" s="36">
        <f>IF(A110&lt;(Solar_DCF!$F$12+1),1,0)</f>
        <v>1</v>
      </c>
      <c r="F110" s="98">
        <f xml:space="preserve"> -Solar_DCF!$F$32*D110</f>
        <v>0</v>
      </c>
      <c r="G110" s="124">
        <f>-F110*Solar_DCF!$F$9</f>
        <v>0</v>
      </c>
      <c r="H110" s="124">
        <f>-Solar_DCF!$F$28*C110</f>
        <v>0</v>
      </c>
      <c r="I110" s="98">
        <f t="shared" si="27"/>
        <v>-1.0441563107812745E-9</v>
      </c>
      <c r="J110" s="98">
        <f t="shared" si="24"/>
        <v>-1.1224680340898701E-9</v>
      </c>
      <c r="K110" s="98">
        <f>-I110*Solar_DCF!$F$7</f>
        <v>7.8311723308595591E-11</v>
      </c>
      <c r="L110" s="124">
        <f>-(K110*Solar_DCF!$F$9)</f>
        <v>0</v>
      </c>
      <c r="M110" s="98">
        <f>-Solar_DCF!$F$15*Solar_DCF!$F$23*E110*(1+Solar_DCF!$F$10)^A110</f>
        <v>-37879.903768564662</v>
      </c>
      <c r="N110" s="98">
        <f>M110*Solar_DCF!$F$9</f>
        <v>0</v>
      </c>
      <c r="O110" s="98">
        <f t="shared" si="28"/>
        <v>0</v>
      </c>
      <c r="P110" s="98">
        <f t="shared" si="29"/>
        <v>0</v>
      </c>
      <c r="Q110" s="124">
        <f t="shared" si="25"/>
        <v>-37879.903768564662</v>
      </c>
      <c r="R110" s="98">
        <f>-E110*Solar_DCF!$F$21*(1+Solar_DCF!$F$17)^(Solar_DCF!A110)</f>
        <v>-1462180.0478498475</v>
      </c>
      <c r="S110" s="98">
        <f>-R110*Solar_DCF!$F$9</f>
        <v>0</v>
      </c>
      <c r="T110" s="124">
        <f t="shared" si="26"/>
        <v>-1462180.0478498475</v>
      </c>
      <c r="U110" s="124">
        <f t="shared" si="30"/>
        <v>-1500059.951618412</v>
      </c>
      <c r="V110" s="68">
        <f t="shared" si="22"/>
        <v>-269798.96768936113</v>
      </c>
      <c r="AA110" s="140"/>
      <c r="AB110" s="88"/>
      <c r="AC110" s="140"/>
    </row>
    <row r="111" spans="1:29" ht="14.4" x14ac:dyDescent="0.3">
      <c r="A111" s="35">
        <f t="shared" si="23"/>
        <v>19</v>
      </c>
      <c r="B111" s="44">
        <f>1/(1+Solar_DCF!$F$8)^A111</f>
        <v>0.16350799082655781</v>
      </c>
      <c r="C111" s="36">
        <f>IF(A111&lt;(Solar_DCF!$F$6+1),1,0)</f>
        <v>0</v>
      </c>
      <c r="D111" s="36">
        <f>IF(A111&lt;(Solar_DCF!$F$11+1),1,0)</f>
        <v>0</v>
      </c>
      <c r="E111" s="36">
        <f>IF(A111&lt;(Solar_DCF!$F$12+1),1,0)</f>
        <v>1</v>
      </c>
      <c r="F111" s="98">
        <f xml:space="preserve"> -Solar_DCF!$F$32*D111</f>
        <v>0</v>
      </c>
      <c r="G111" s="124">
        <f>-F111*Solar_DCF!$F$9</f>
        <v>0</v>
      </c>
      <c r="H111" s="124">
        <f>-Solar_DCF!$F$28*C111</f>
        <v>0</v>
      </c>
      <c r="I111" s="98">
        <f t="shared" si="27"/>
        <v>-1.1224680340898701E-9</v>
      </c>
      <c r="J111" s="98">
        <f t="shared" si="24"/>
        <v>-1.2066531366466103E-9</v>
      </c>
      <c r="K111" s="98">
        <f>-I111*Solar_DCF!$F$7</f>
        <v>8.4185102556740256E-11</v>
      </c>
      <c r="L111" s="124">
        <f>-(K111*Solar_DCF!$F$9)</f>
        <v>0</v>
      </c>
      <c r="M111" s="98">
        <f>-Solar_DCF!$F$15*Solar_DCF!$F$23*E111*(1+Solar_DCF!$F$10)^A111</f>
        <v>-38826.901362778779</v>
      </c>
      <c r="N111" s="98">
        <f>M111*Solar_DCF!$F$9</f>
        <v>0</v>
      </c>
      <c r="O111" s="98">
        <f t="shared" si="28"/>
        <v>0</v>
      </c>
      <c r="P111" s="98">
        <f t="shared" si="29"/>
        <v>0</v>
      </c>
      <c r="Q111" s="124">
        <f t="shared" si="25"/>
        <v>-38826.901362778779</v>
      </c>
      <c r="R111" s="98">
        <f>-E111*Solar_DCF!$F$21*(1+Solar_DCF!$F$17)^(Solar_DCF!A111)</f>
        <v>-1498734.5490460936</v>
      </c>
      <c r="S111" s="98">
        <f>-R111*Solar_DCF!$F$9</f>
        <v>0</v>
      </c>
      <c r="T111" s="124">
        <f t="shared" si="26"/>
        <v>-1498734.5490460936</v>
      </c>
      <c r="U111" s="124">
        <f t="shared" si="30"/>
        <v>-1537561.4504088724</v>
      </c>
      <c r="V111" s="68">
        <f t="shared" si="22"/>
        <v>-251403.58352872284</v>
      </c>
      <c r="AA111" s="140"/>
      <c r="AB111" s="88"/>
      <c r="AC111" s="140"/>
    </row>
    <row r="112" spans="1:29" ht="14.4" x14ac:dyDescent="0.3">
      <c r="A112" s="35">
        <f t="shared" si="23"/>
        <v>20</v>
      </c>
      <c r="B112" s="44">
        <f>1/(1+Solar_DCF!$F$8)^A112</f>
        <v>0.14864362802414349</v>
      </c>
      <c r="C112" s="36">
        <f>IF(A112&lt;(Solar_DCF!$F$6+1),1,0)</f>
        <v>0</v>
      </c>
      <c r="D112" s="36">
        <f>IF(A112&lt;(Solar_DCF!$F$11+1),1,0)</f>
        <v>0</v>
      </c>
      <c r="E112" s="36">
        <f>IF(A112&lt;(Solar_DCF!$F$12+1),1,0)</f>
        <v>1</v>
      </c>
      <c r="F112" s="98">
        <f xml:space="preserve"> -Solar_DCF!$F$32*D112</f>
        <v>0</v>
      </c>
      <c r="G112" s="124">
        <f>-F112*Solar_DCF!$F$9</f>
        <v>0</v>
      </c>
      <c r="H112" s="124">
        <f>-Solar_DCF!$F$28*C112</f>
        <v>0</v>
      </c>
      <c r="I112" s="98">
        <f t="shared" si="27"/>
        <v>-1.2066531366466103E-9</v>
      </c>
      <c r="J112" s="98">
        <f t="shared" si="24"/>
        <v>-1.2971521218951061E-9</v>
      </c>
      <c r="K112" s="98">
        <f>-I112*Solar_DCF!$F$7</f>
        <v>9.049898524849577E-11</v>
      </c>
      <c r="L112" s="124">
        <f>-(K112*Solar_DCF!$F$9)</f>
        <v>0</v>
      </c>
      <c r="M112" s="98">
        <f>-Solar_DCF!$F$15*Solar_DCF!$F$23*E112*(1+Solar_DCF!$F$10)^A112</f>
        <v>-39797.57389684824</v>
      </c>
      <c r="N112" s="98">
        <f>M112*Solar_DCF!$F$9</f>
        <v>0</v>
      </c>
      <c r="O112" s="98">
        <f t="shared" si="28"/>
        <v>0</v>
      </c>
      <c r="P112" s="98">
        <f t="shared" si="29"/>
        <v>0</v>
      </c>
      <c r="Q112" s="124">
        <f t="shared" si="25"/>
        <v>-39797.57389684824</v>
      </c>
      <c r="R112" s="98">
        <f>-E112*Solar_DCF!$F$21*(1+Solar_DCF!$F$17)^(Solar_DCF!A112)</f>
        <v>-1536202.9127722459</v>
      </c>
      <c r="S112" s="98">
        <f>-R112*Solar_DCF!$F$9</f>
        <v>0</v>
      </c>
      <c r="T112" s="124">
        <f t="shared" si="26"/>
        <v>-1536202.9127722459</v>
      </c>
      <c r="U112" s="124">
        <f>G112+H112+L112+Q112+T112+IF(AND(E112=1,E113=0),$F$24,0)</f>
        <v>-1515282.2293052853</v>
      </c>
      <c r="V112" s="68">
        <f t="shared" si="22"/>
        <v>-225237.04804444974</v>
      </c>
      <c r="AA112" s="140"/>
      <c r="AB112" s="88"/>
      <c r="AC112" s="140"/>
    </row>
    <row r="113" spans="1:29" ht="14.4" x14ac:dyDescent="0.3">
      <c r="A113" s="35">
        <f t="shared" si="23"/>
        <v>21</v>
      </c>
      <c r="B113" s="44">
        <f>1/(1+Solar_DCF!$F$8)^A113</f>
        <v>0.13513057093103953</v>
      </c>
      <c r="C113" s="36">
        <f>IF(A113&lt;(Solar_DCF!$F$6+1),1,0)</f>
        <v>0</v>
      </c>
      <c r="D113" s="36">
        <f>IF(A113&lt;(Solar_DCF!$F$11+1),1,0)</f>
        <v>0</v>
      </c>
      <c r="E113" s="36">
        <f>IF(A113&lt;(Solar_DCF!$F$12+1),1,0)</f>
        <v>0</v>
      </c>
      <c r="F113" s="98">
        <f xml:space="preserve"> -Solar_DCF!$F$32*D113</f>
        <v>0</v>
      </c>
      <c r="G113" s="124">
        <f>-F113*Solar_DCF!$F$9</f>
        <v>0</v>
      </c>
      <c r="H113" s="124">
        <f>-Solar_DCF!$F$28*C113</f>
        <v>0</v>
      </c>
      <c r="I113" s="98">
        <f t="shared" si="27"/>
        <v>-1.2971521218951061E-9</v>
      </c>
      <c r="J113" s="98">
        <f t="shared" si="24"/>
        <v>-1.3944385310372391E-9</v>
      </c>
      <c r="K113" s="98">
        <f>-I113*Solar_DCF!$F$7</f>
        <v>9.7286409142132954E-11</v>
      </c>
      <c r="L113" s="124">
        <f>-(K113*Solar_DCF!$F$9)</f>
        <v>0</v>
      </c>
      <c r="M113" s="98">
        <f>-Solar_DCF!$F$15*Solar_DCF!$F$23*E113*(1+Solar_DCF!$F$10)^A113</f>
        <v>0</v>
      </c>
      <c r="N113" s="98">
        <f>M113*Solar_DCF!$F$9</f>
        <v>0</v>
      </c>
      <c r="O113" s="98">
        <f t="shared" si="28"/>
        <v>0</v>
      </c>
      <c r="P113" s="98">
        <f t="shared" si="29"/>
        <v>0</v>
      </c>
      <c r="Q113" s="124">
        <f t="shared" si="25"/>
        <v>0</v>
      </c>
      <c r="R113" s="98">
        <f>-E113*Solar_DCF!$F$21*(1+Solar_DCF!$F$17)^(Solar_DCF!A113)</f>
        <v>0</v>
      </c>
      <c r="S113" s="98">
        <f>-R113*Solar_DCF!$F$9</f>
        <v>0</v>
      </c>
      <c r="T113" s="124">
        <f t="shared" si="26"/>
        <v>0</v>
      </c>
      <c r="U113" s="124">
        <f t="shared" si="30"/>
        <v>0</v>
      </c>
      <c r="V113" s="68">
        <f t="shared" si="22"/>
        <v>0</v>
      </c>
      <c r="AA113" s="140"/>
      <c r="AB113" s="88"/>
      <c r="AC113" s="140"/>
    </row>
    <row r="114" spans="1:29" ht="14.4" x14ac:dyDescent="0.3">
      <c r="A114" s="35">
        <f t="shared" si="23"/>
        <v>22</v>
      </c>
      <c r="B114" s="44">
        <f>1/(1+Solar_DCF!$F$8)^A114</f>
        <v>0.12284597357367227</v>
      </c>
      <c r="C114" s="36">
        <f>IF(A114&lt;(Solar_DCF!$F$6+1),1,0)</f>
        <v>0</v>
      </c>
      <c r="D114" s="36">
        <f>IF(A114&lt;(Solar_DCF!$F$11+1),1,0)</f>
        <v>0</v>
      </c>
      <c r="E114" s="36">
        <f>IF(A114&lt;(Solar_DCF!$F$12+1),1,0)</f>
        <v>0</v>
      </c>
      <c r="F114" s="98">
        <f xml:space="preserve"> -Solar_DCF!$F$32*D114</f>
        <v>0</v>
      </c>
      <c r="G114" s="124">
        <f>-F114*Solar_DCF!$F$9</f>
        <v>0</v>
      </c>
      <c r="H114" s="124">
        <f>-Solar_DCF!$F$28*C114</f>
        <v>0</v>
      </c>
      <c r="I114" s="98">
        <f t="shared" si="27"/>
        <v>-1.3944385310372391E-9</v>
      </c>
      <c r="J114" s="98">
        <f t="shared" si="24"/>
        <v>-1.499021420865032E-9</v>
      </c>
      <c r="K114" s="98">
        <f>-I114*Solar_DCF!$F$7</f>
        <v>1.0458288982779293E-10</v>
      </c>
      <c r="L114" s="124">
        <f>-(K114*Solar_DCF!$F$9)</f>
        <v>0</v>
      </c>
      <c r="M114" s="98">
        <f>-Solar_DCF!$F$15*Solar_DCF!$F$23*E114*(1+Solar_DCF!$F$10)^A114</f>
        <v>0</v>
      </c>
      <c r="N114" s="98">
        <f>M114*Solar_DCF!$F$9</f>
        <v>0</v>
      </c>
      <c r="O114" s="98">
        <f t="shared" si="28"/>
        <v>0</v>
      </c>
      <c r="P114" s="98">
        <f t="shared" si="29"/>
        <v>0</v>
      </c>
      <c r="Q114" s="124">
        <f t="shared" si="25"/>
        <v>0</v>
      </c>
      <c r="R114" s="98">
        <f>-E114*Solar_DCF!$F$21*(1+Solar_DCF!$F$17)^(Solar_DCF!A114)</f>
        <v>0</v>
      </c>
      <c r="S114" s="98">
        <f>-R114*Solar_DCF!$F$9</f>
        <v>0</v>
      </c>
      <c r="T114" s="124">
        <f t="shared" si="26"/>
        <v>0</v>
      </c>
      <c r="U114" s="124">
        <f t="shared" si="30"/>
        <v>0</v>
      </c>
      <c r="V114" s="68">
        <f t="shared" si="22"/>
        <v>0</v>
      </c>
      <c r="AA114" s="140"/>
      <c r="AB114" s="88"/>
      <c r="AC114" s="140"/>
    </row>
    <row r="115" spans="1:29" ht="14.4" x14ac:dyDescent="0.3">
      <c r="A115" s="35">
        <f t="shared" si="23"/>
        <v>23</v>
      </c>
      <c r="B115" s="44">
        <f>1/(1+Solar_DCF!$F$8)^A115</f>
        <v>0.11167815779424752</v>
      </c>
      <c r="C115" s="36">
        <f>IF(A115&lt;(Solar_DCF!$F$6+1),1,0)</f>
        <v>0</v>
      </c>
      <c r="D115" s="36">
        <f>IF(A115&lt;(Solar_DCF!$F$11+1),1,0)</f>
        <v>0</v>
      </c>
      <c r="E115" s="36">
        <f>IF(A115&lt;(Solar_DCF!$F$12+1),1,0)</f>
        <v>0</v>
      </c>
      <c r="F115" s="98">
        <f xml:space="preserve"> -Solar_DCF!$F$32*D115</f>
        <v>0</v>
      </c>
      <c r="G115" s="124">
        <f>-F115*Solar_DCF!$F$9</f>
        <v>0</v>
      </c>
      <c r="H115" s="124">
        <f>-Solar_DCF!$F$28*C115</f>
        <v>0</v>
      </c>
      <c r="I115" s="98">
        <f t="shared" si="27"/>
        <v>-1.499021420865032E-9</v>
      </c>
      <c r="J115" s="98">
        <f t="shared" si="24"/>
        <v>-1.6114480274299093E-9</v>
      </c>
      <c r="K115" s="98">
        <f>-I115*Solar_DCF!$F$7</f>
        <v>1.1242660656487739E-10</v>
      </c>
      <c r="L115" s="124">
        <f>-(K115*Solar_DCF!$F$9)</f>
        <v>0</v>
      </c>
      <c r="M115" s="98">
        <f>-Solar_DCF!$F$15*Solar_DCF!$F$23*E115*(1+Solar_DCF!$F$10)^A115</f>
        <v>0</v>
      </c>
      <c r="N115" s="98">
        <f>M115*Solar_DCF!$F$9</f>
        <v>0</v>
      </c>
      <c r="O115" s="98">
        <f t="shared" si="28"/>
        <v>0</v>
      </c>
      <c r="P115" s="98">
        <f t="shared" si="29"/>
        <v>0</v>
      </c>
      <c r="Q115" s="124">
        <f t="shared" si="25"/>
        <v>0</v>
      </c>
      <c r="R115" s="98">
        <f>-E115*Solar_DCF!$F$21*(1+Solar_DCF!$F$17)^(Solar_DCF!A115)</f>
        <v>0</v>
      </c>
      <c r="S115" s="98">
        <f>-R115*Solar_DCF!$F$9</f>
        <v>0</v>
      </c>
      <c r="T115" s="124">
        <f t="shared" si="26"/>
        <v>0</v>
      </c>
      <c r="U115" s="124">
        <f t="shared" si="30"/>
        <v>0</v>
      </c>
      <c r="V115" s="68">
        <f t="shared" si="22"/>
        <v>0</v>
      </c>
      <c r="AA115" s="140"/>
      <c r="AB115" s="88"/>
      <c r="AC115" s="140"/>
    </row>
    <row r="116" spans="1:29" ht="14.4" x14ac:dyDescent="0.3">
      <c r="A116" s="35">
        <f t="shared" si="23"/>
        <v>24</v>
      </c>
      <c r="B116" s="44">
        <f>1/(1+Solar_DCF!$F$8)^A116</f>
        <v>0.10152559799477048</v>
      </c>
      <c r="C116" s="36">
        <f>IF(A116&lt;(Solar_DCF!$F$6+1),1,0)</f>
        <v>0</v>
      </c>
      <c r="D116" s="36">
        <f>IF(A116&lt;(Solar_DCF!$F$11+1),1,0)</f>
        <v>0</v>
      </c>
      <c r="E116" s="36">
        <f>IF(A116&lt;(Solar_DCF!$F$12+1),1,0)</f>
        <v>0</v>
      </c>
      <c r="F116" s="98">
        <f xml:space="preserve"> -Solar_DCF!$F$32*D116</f>
        <v>0</v>
      </c>
      <c r="G116" s="124">
        <f>-F116*Solar_DCF!$F$9</f>
        <v>0</v>
      </c>
      <c r="H116" s="124">
        <f>-Solar_DCF!$F$28*C116</f>
        <v>0</v>
      </c>
      <c r="I116" s="98">
        <f t="shared" si="27"/>
        <v>-1.6114480274299093E-9</v>
      </c>
      <c r="J116" s="98">
        <f t="shared" si="24"/>
        <v>-1.7323066294871524E-9</v>
      </c>
      <c r="K116" s="98">
        <f>-I116*Solar_DCF!$F$7</f>
        <v>1.2085860205724319E-10</v>
      </c>
      <c r="L116" s="124">
        <f>-(K116*Solar_DCF!$F$9)</f>
        <v>0</v>
      </c>
      <c r="M116" s="98">
        <f>-Solar_DCF!$F$15*Solar_DCF!$F$23*E116*(1+Solar_DCF!$F$10)^A116</f>
        <v>0</v>
      </c>
      <c r="N116" s="98">
        <f>M116*Solar_DCF!$F$9</f>
        <v>0</v>
      </c>
      <c r="O116" s="98">
        <f t="shared" si="28"/>
        <v>0</v>
      </c>
      <c r="P116" s="98">
        <f t="shared" si="29"/>
        <v>0</v>
      </c>
      <c r="Q116" s="124">
        <f t="shared" si="25"/>
        <v>0</v>
      </c>
      <c r="R116" s="98">
        <f>-E116*Solar_DCF!$F$21*(1+Solar_DCF!$F$17)^(Solar_DCF!A116)</f>
        <v>0</v>
      </c>
      <c r="S116" s="98">
        <f>-R116*Solar_DCF!$F$9</f>
        <v>0</v>
      </c>
      <c r="T116" s="124">
        <f t="shared" si="26"/>
        <v>0</v>
      </c>
      <c r="U116" s="124">
        <f t="shared" si="30"/>
        <v>0</v>
      </c>
      <c r="V116" s="68">
        <f t="shared" si="22"/>
        <v>0</v>
      </c>
      <c r="AA116" s="140"/>
      <c r="AB116" s="88"/>
      <c r="AC116" s="140"/>
    </row>
    <row r="117" spans="1:29" ht="14.4" x14ac:dyDescent="0.3">
      <c r="A117" s="35">
        <f t="shared" si="23"/>
        <v>25</v>
      </c>
      <c r="B117" s="44">
        <f>1/(1+Solar_DCF!$F$8)^A117</f>
        <v>9.2295998177064048E-2</v>
      </c>
      <c r="C117" s="36">
        <f>IF(A117&lt;(Solar_DCF!$F$6+1),1,0)</f>
        <v>0</v>
      </c>
      <c r="D117" s="36">
        <f>IF(A117&lt;(Solar_DCF!$F$11+1),1,0)</f>
        <v>0</v>
      </c>
      <c r="E117" s="36">
        <f>IF(A117&lt;(Solar_DCF!$F$12+1),1,0)</f>
        <v>0</v>
      </c>
      <c r="F117" s="98">
        <f xml:space="preserve"> -Solar_DCF!$F$32*D117</f>
        <v>0</v>
      </c>
      <c r="G117" s="124">
        <f>-F117*Solar_DCF!$F$9</f>
        <v>0</v>
      </c>
      <c r="H117" s="124">
        <f>-Solar_DCF!$F$28*C117</f>
        <v>0</v>
      </c>
      <c r="I117" s="98">
        <f t="shared" si="27"/>
        <v>-1.7323066294871524E-9</v>
      </c>
      <c r="J117" s="98">
        <f t="shared" si="24"/>
        <v>-1.8622296266986888E-9</v>
      </c>
      <c r="K117" s="98">
        <f>-I117*Solar_DCF!$F$7</f>
        <v>1.2992299721153642E-10</v>
      </c>
      <c r="L117" s="124">
        <f>-(K117*Solar_DCF!$F$9)</f>
        <v>0</v>
      </c>
      <c r="M117" s="98">
        <f>-Solar_DCF!$F$15*Solar_DCF!$F$23*E117*(1+Solar_DCF!$F$10)^A117</f>
        <v>0</v>
      </c>
      <c r="N117" s="98">
        <f>M117*Solar_DCF!$F$9</f>
        <v>0</v>
      </c>
      <c r="O117" s="98">
        <f t="shared" si="28"/>
        <v>0</v>
      </c>
      <c r="P117" s="98">
        <f t="shared" si="29"/>
        <v>0</v>
      </c>
      <c r="Q117" s="124">
        <f t="shared" si="25"/>
        <v>0</v>
      </c>
      <c r="R117" s="98">
        <f>-E117*Solar_DCF!$F$21*(1+Solar_DCF!$F$17)^(Solar_DCF!A117)</f>
        <v>0</v>
      </c>
      <c r="S117" s="98">
        <f>-R117*Solar_DCF!$F$9</f>
        <v>0</v>
      </c>
      <c r="T117" s="124">
        <f t="shared" si="26"/>
        <v>0</v>
      </c>
      <c r="U117" s="124">
        <f t="shared" si="30"/>
        <v>0</v>
      </c>
      <c r="V117" s="68">
        <f t="shared" si="22"/>
        <v>0</v>
      </c>
      <c r="AA117" s="140"/>
      <c r="AB117" s="88"/>
      <c r="AC117" s="140"/>
    </row>
    <row r="118" spans="1:29" ht="14.4" x14ac:dyDescent="0.3">
      <c r="A118" s="35">
        <f t="shared" si="23"/>
        <v>26</v>
      </c>
      <c r="B118" s="44">
        <f>1/(1+Solar_DCF!$F$8)^A118</f>
        <v>8.3905452888240042E-2</v>
      </c>
      <c r="C118" s="36">
        <f>IF(A118&lt;(Solar_DCF!$F$6+1),1,0)</f>
        <v>0</v>
      </c>
      <c r="D118" s="36">
        <f>IF(A118&lt;(Solar_DCF!$F$11+1),1,0)</f>
        <v>0</v>
      </c>
      <c r="E118" s="36">
        <f>IF(A118&lt;(Solar_DCF!$F$12+1),1,0)</f>
        <v>0</v>
      </c>
      <c r="F118" s="98">
        <f xml:space="preserve"> -Solar_DCF!$F$32*D118</f>
        <v>0</v>
      </c>
      <c r="G118" s="124">
        <f>-F118*Solar_DCF!$F$9</f>
        <v>0</v>
      </c>
      <c r="H118" s="124">
        <f>-Solar_DCF!$F$28*C118</f>
        <v>0</v>
      </c>
      <c r="I118" s="98">
        <f t="shared" si="27"/>
        <v>-1.8622296266986888E-9</v>
      </c>
      <c r="J118" s="98">
        <f t="shared" si="24"/>
        <v>-2.0018968487010904E-9</v>
      </c>
      <c r="K118" s="98">
        <f>-I118*Solar_DCF!$F$7</f>
        <v>1.3966722200240165E-10</v>
      </c>
      <c r="L118" s="124">
        <f>-(K118*Solar_DCF!$F$9)</f>
        <v>0</v>
      </c>
      <c r="M118" s="98">
        <f>-Solar_DCF!$F$15*Solar_DCF!$F$23*E118*(1+Solar_DCF!$F$10)^A118</f>
        <v>0</v>
      </c>
      <c r="N118" s="98">
        <f>M118*Solar_DCF!$F$9</f>
        <v>0</v>
      </c>
      <c r="O118" s="98">
        <f t="shared" si="28"/>
        <v>0</v>
      </c>
      <c r="P118" s="98">
        <f t="shared" si="29"/>
        <v>0</v>
      </c>
      <c r="Q118" s="124">
        <f t="shared" si="25"/>
        <v>0</v>
      </c>
      <c r="R118" s="98">
        <f>-E118*Solar_DCF!$F$21*(1+Solar_DCF!$F$17)^(Solar_DCF!A118)</f>
        <v>0</v>
      </c>
      <c r="S118" s="98">
        <f>-R118*Solar_DCF!$F$9</f>
        <v>0</v>
      </c>
      <c r="T118" s="124">
        <f t="shared" si="26"/>
        <v>0</v>
      </c>
      <c r="U118" s="124">
        <f t="shared" si="30"/>
        <v>0</v>
      </c>
      <c r="V118" s="68">
        <f t="shared" si="22"/>
        <v>0</v>
      </c>
      <c r="AA118" s="140"/>
      <c r="AB118" s="88"/>
      <c r="AC118" s="140"/>
    </row>
    <row r="119" spans="1:29" ht="14.4" x14ac:dyDescent="0.3">
      <c r="A119" s="35">
        <f t="shared" si="23"/>
        <v>27</v>
      </c>
      <c r="B119" s="44">
        <f>1/(1+Solar_DCF!$F$8)^A119</f>
        <v>7.6277684443854576E-2</v>
      </c>
      <c r="C119" s="36">
        <f>IF(A119&lt;(Solar_DCF!$F$6+1),1,0)</f>
        <v>0</v>
      </c>
      <c r="D119" s="36">
        <f>IF(A119&lt;(Solar_DCF!$F$11+1),1,0)</f>
        <v>0</v>
      </c>
      <c r="E119" s="36">
        <f>IF(A119&lt;(Solar_DCF!$F$12+1),1,0)</f>
        <v>0</v>
      </c>
      <c r="F119" s="98">
        <f xml:space="preserve"> -Solar_DCF!$F$32*D119</f>
        <v>0</v>
      </c>
      <c r="G119" s="124">
        <f>-F119*Solar_DCF!$F$9</f>
        <v>0</v>
      </c>
      <c r="H119" s="124">
        <f>-Solar_DCF!$F$28*C119</f>
        <v>0</v>
      </c>
      <c r="I119" s="98">
        <f t="shared" si="27"/>
        <v>-2.0018968487010904E-9</v>
      </c>
      <c r="J119" s="98">
        <f t="shared" si="24"/>
        <v>-2.152039112353672E-9</v>
      </c>
      <c r="K119" s="98">
        <f>-I119*Solar_DCF!$F$7</f>
        <v>1.5014226365258176E-10</v>
      </c>
      <c r="L119" s="124">
        <f>-(K119*Solar_DCF!$F$9)</f>
        <v>0</v>
      </c>
      <c r="M119" s="98">
        <f>-Solar_DCF!$F$15*Solar_DCF!$F$23*E119*(1+Solar_DCF!$F$10)^A119</f>
        <v>0</v>
      </c>
      <c r="N119" s="98">
        <f>M119*Solar_DCF!$F$9</f>
        <v>0</v>
      </c>
      <c r="O119" s="98">
        <f t="shared" si="28"/>
        <v>0</v>
      </c>
      <c r="P119" s="98">
        <f t="shared" si="29"/>
        <v>0</v>
      </c>
      <c r="Q119" s="124">
        <f t="shared" si="25"/>
        <v>0</v>
      </c>
      <c r="R119" s="98">
        <f>-E119*Solar_DCF!$F$21*(1+Solar_DCF!$F$17)^(Solar_DCF!A119)</f>
        <v>0</v>
      </c>
      <c r="S119" s="98">
        <f>-R119*Solar_DCF!$F$9</f>
        <v>0</v>
      </c>
      <c r="T119" s="124">
        <f t="shared" si="26"/>
        <v>0</v>
      </c>
      <c r="U119" s="124">
        <f t="shared" si="30"/>
        <v>0</v>
      </c>
      <c r="V119" s="68">
        <f t="shared" si="22"/>
        <v>0</v>
      </c>
      <c r="AA119" s="140"/>
      <c r="AB119" s="88"/>
      <c r="AC119" s="140"/>
    </row>
    <row r="120" spans="1:29" ht="14.4" x14ac:dyDescent="0.3">
      <c r="A120" s="35">
        <f t="shared" si="23"/>
        <v>28</v>
      </c>
      <c r="B120" s="44">
        <f>1/(1+Solar_DCF!$F$8)^A120</f>
        <v>6.9343349494413245E-2</v>
      </c>
      <c r="C120" s="36">
        <f>IF(A120&lt;(Solar_DCF!$F$6+1),1,0)</f>
        <v>0</v>
      </c>
      <c r="D120" s="36">
        <f>IF(A120&lt;(Solar_DCF!$F$11+1),1,0)</f>
        <v>0</v>
      </c>
      <c r="E120" s="36">
        <f>IF(A120&lt;(Solar_DCF!$F$12+1),1,0)</f>
        <v>0</v>
      </c>
      <c r="F120" s="98">
        <f xml:space="preserve"> -Solar_DCF!$F$32*D120</f>
        <v>0</v>
      </c>
      <c r="G120" s="124">
        <f>-F120*Solar_DCF!$F$9</f>
        <v>0</v>
      </c>
      <c r="H120" s="124">
        <f>-Solar_DCF!$F$28*C120</f>
        <v>0</v>
      </c>
      <c r="I120" s="98">
        <f t="shared" si="27"/>
        <v>-2.152039112353672E-9</v>
      </c>
      <c r="J120" s="98">
        <f t="shared" si="24"/>
        <v>-2.3134420457801973E-9</v>
      </c>
      <c r="K120" s="98">
        <f>-I120*Solar_DCF!$F$7</f>
        <v>1.6140293342652541E-10</v>
      </c>
      <c r="L120" s="124">
        <f>-(K120*Solar_DCF!$F$9)</f>
        <v>0</v>
      </c>
      <c r="M120" s="98">
        <f>-Solar_DCF!$F$15*Solar_DCF!$F$23*E120*(1+Solar_DCF!$F$10)^A120</f>
        <v>0</v>
      </c>
      <c r="N120" s="98">
        <f>M120*Solar_DCF!$F$9</f>
        <v>0</v>
      </c>
      <c r="O120" s="98">
        <f t="shared" si="28"/>
        <v>0</v>
      </c>
      <c r="P120" s="98">
        <f t="shared" si="29"/>
        <v>0</v>
      </c>
      <c r="Q120" s="124">
        <f t="shared" si="25"/>
        <v>0</v>
      </c>
      <c r="R120" s="98">
        <f>-E120*Solar_DCF!$F$21*(1+Solar_DCF!$F$17)^(Solar_DCF!A120)</f>
        <v>0</v>
      </c>
      <c r="S120" s="98">
        <f>-R120*Solar_DCF!$F$9</f>
        <v>0</v>
      </c>
      <c r="T120" s="124">
        <f t="shared" si="26"/>
        <v>0</v>
      </c>
      <c r="U120" s="124">
        <f t="shared" si="30"/>
        <v>0</v>
      </c>
      <c r="V120" s="68">
        <f t="shared" si="22"/>
        <v>0</v>
      </c>
      <c r="AA120" s="140"/>
      <c r="AB120" s="88"/>
      <c r="AC120" s="140"/>
    </row>
    <row r="121" spans="1:29" ht="14.4" x14ac:dyDescent="0.3">
      <c r="A121" s="35">
        <f t="shared" si="23"/>
        <v>29</v>
      </c>
      <c r="B121" s="44">
        <f>1/(1+Solar_DCF!$F$8)^A121</f>
        <v>6.3039408631284766E-2</v>
      </c>
      <c r="C121" s="36">
        <f>IF(A121&lt;(Solar_DCF!$F$6+1),1,0)</f>
        <v>0</v>
      </c>
      <c r="D121" s="36">
        <f>IF(A121&lt;(Solar_DCF!$F$11+1),1,0)</f>
        <v>0</v>
      </c>
      <c r="E121" s="36">
        <f>IF(A121&lt;(Solar_DCF!$F$12+1),1,0)</f>
        <v>0</v>
      </c>
      <c r="F121" s="98">
        <f xml:space="preserve"> -Solar_DCF!$F$32*D121</f>
        <v>0</v>
      </c>
      <c r="G121" s="124">
        <f>-F121*Solar_DCF!$F$9</f>
        <v>0</v>
      </c>
      <c r="H121" s="124">
        <f>-Solar_DCF!$F$28*C121</f>
        <v>0</v>
      </c>
      <c r="I121" s="98">
        <f t="shared" si="27"/>
        <v>-2.3134420457801973E-9</v>
      </c>
      <c r="J121" s="98">
        <f t="shared" si="24"/>
        <v>-2.4869501992137119E-9</v>
      </c>
      <c r="K121" s="98">
        <f>-I121*Solar_DCF!$F$7</f>
        <v>1.735081534335148E-10</v>
      </c>
      <c r="L121" s="124">
        <f>-(K121*Solar_DCF!$F$9)</f>
        <v>0</v>
      </c>
      <c r="M121" s="98">
        <f>-Solar_DCF!$F$15*Solar_DCF!$F$23*E121*(1+Solar_DCF!$F$10)^A121</f>
        <v>0</v>
      </c>
      <c r="N121" s="98">
        <f>M121*Solar_DCF!$F$9</f>
        <v>0</v>
      </c>
      <c r="O121" s="98">
        <f t="shared" si="28"/>
        <v>0</v>
      </c>
      <c r="P121" s="98">
        <f t="shared" si="29"/>
        <v>0</v>
      </c>
      <c r="Q121" s="124">
        <f t="shared" si="25"/>
        <v>0</v>
      </c>
      <c r="R121" s="98">
        <f>-E121*Solar_DCF!$F$21*(1+Solar_DCF!$F$17)^(Solar_DCF!A121)</f>
        <v>0</v>
      </c>
      <c r="S121" s="98">
        <f>-R121*Solar_DCF!$F$9</f>
        <v>0</v>
      </c>
      <c r="T121" s="124">
        <f t="shared" si="26"/>
        <v>0</v>
      </c>
      <c r="U121" s="124">
        <f t="shared" si="30"/>
        <v>0</v>
      </c>
      <c r="V121" s="68">
        <f t="shared" si="22"/>
        <v>0</v>
      </c>
      <c r="AA121" s="140"/>
      <c r="AB121" s="88"/>
      <c r="AC121" s="140"/>
    </row>
    <row r="122" spans="1:29" ht="14.4" x14ac:dyDescent="0.3">
      <c r="A122" s="35">
        <f t="shared" si="23"/>
        <v>30</v>
      </c>
      <c r="B122" s="44">
        <f>1/(1+Solar_DCF!$F$8)^A122</f>
        <v>5.7308553301167964E-2</v>
      </c>
      <c r="C122" s="36">
        <f>IF(A122&lt;(Solar_DCF!$F$6+1),1,0)</f>
        <v>0</v>
      </c>
      <c r="D122" s="36">
        <f>IF(A122&lt;(Solar_DCF!$F$11+1),1,0)</f>
        <v>0</v>
      </c>
      <c r="E122" s="36">
        <f>IF(A122&lt;(Solar_DCF!$F$12+1),1,0)</f>
        <v>0</v>
      </c>
      <c r="F122" s="98">
        <f xml:space="preserve"> -Solar_DCF!$F$32*D122</f>
        <v>0</v>
      </c>
      <c r="G122" s="124">
        <f>-F122*Solar_DCF!$F$9</f>
        <v>0</v>
      </c>
      <c r="H122" s="124">
        <f>-Solar_DCF!$F$28*C122</f>
        <v>0</v>
      </c>
      <c r="I122" s="98">
        <f t="shared" si="27"/>
        <v>-2.4869501992137119E-9</v>
      </c>
      <c r="J122" s="98">
        <f t="shared" si="24"/>
        <v>-2.6734714641547402E-9</v>
      </c>
      <c r="K122" s="98">
        <f>-I122*Solar_DCF!$F$7</f>
        <v>1.865212649410284E-10</v>
      </c>
      <c r="L122" s="124">
        <f>-(K122*Solar_DCF!$F$9)</f>
        <v>0</v>
      </c>
      <c r="M122" s="98">
        <f>-Solar_DCF!$F$15*Solar_DCF!$F$23*E122*(1+Solar_DCF!$F$10)^A122</f>
        <v>0</v>
      </c>
      <c r="N122" s="98">
        <f>M122*Solar_DCF!$F$9</f>
        <v>0</v>
      </c>
      <c r="O122" s="98">
        <f t="shared" si="28"/>
        <v>0</v>
      </c>
      <c r="P122" s="98">
        <f t="shared" si="29"/>
        <v>0</v>
      </c>
      <c r="Q122" s="124">
        <f t="shared" si="25"/>
        <v>0</v>
      </c>
      <c r="R122" s="98">
        <f>-E122*Solar_DCF!$F$21*(1+Solar_DCF!$F$17)^(Solar_DCF!A122)</f>
        <v>0</v>
      </c>
      <c r="S122" s="98">
        <f>-R122*Solar_DCF!$F$9</f>
        <v>0</v>
      </c>
      <c r="T122" s="124">
        <f t="shared" si="26"/>
        <v>0</v>
      </c>
      <c r="U122" s="124">
        <f t="shared" si="30"/>
        <v>0</v>
      </c>
      <c r="V122" s="68">
        <f t="shared" si="22"/>
        <v>0</v>
      </c>
      <c r="AA122" s="140"/>
      <c r="AB122" s="88"/>
      <c r="AC122" s="140"/>
    </row>
    <row r="123" spans="1:29" ht="14.4" x14ac:dyDescent="0.3">
      <c r="A123" s="35">
        <f t="shared" si="23"/>
        <v>31</v>
      </c>
      <c r="B123" s="44">
        <f>1/(1+Solar_DCF!$F$8)^A123</f>
        <v>5.2098684819243603E-2</v>
      </c>
      <c r="C123" s="36">
        <f>IF(A123&lt;(Solar_DCF!$F$6+1),1,0)</f>
        <v>0</v>
      </c>
      <c r="D123" s="36">
        <f>IF(A123&lt;(Solar_DCF!$F$11+1),1,0)</f>
        <v>0</v>
      </c>
      <c r="E123" s="36">
        <f>IF(A123&lt;(Solar_DCF!$F$12+1),1,0)</f>
        <v>0</v>
      </c>
      <c r="F123" s="98">
        <f xml:space="preserve"> -Solar_DCF!$F$32*D123</f>
        <v>0</v>
      </c>
      <c r="G123" s="124">
        <f>-F123*Solar_DCF!$F$9</f>
        <v>0</v>
      </c>
      <c r="H123" s="124">
        <f>-Solar_DCF!$F$28*C123</f>
        <v>0</v>
      </c>
      <c r="I123" s="98">
        <f t="shared" si="27"/>
        <v>-2.6734714641547402E-9</v>
      </c>
      <c r="J123" s="98">
        <f t="shared" si="24"/>
        <v>-2.8739818239663458E-9</v>
      </c>
      <c r="K123" s="98">
        <f>-I123*Solar_DCF!$F$7</f>
        <v>2.0051035981160552E-10</v>
      </c>
      <c r="L123" s="124">
        <f>-(K123*Solar_DCF!$F$9)</f>
        <v>0</v>
      </c>
      <c r="M123" s="98">
        <f>-Solar_DCF!$F$15*Solar_DCF!$F$23*E123*(1+Solar_DCF!$F$10)^A123</f>
        <v>0</v>
      </c>
      <c r="N123" s="98">
        <f>M123*Solar_DCF!$F$9</f>
        <v>0</v>
      </c>
      <c r="O123" s="98">
        <f t="shared" si="28"/>
        <v>0</v>
      </c>
      <c r="P123" s="98">
        <f t="shared" si="29"/>
        <v>0</v>
      </c>
      <c r="Q123" s="124">
        <f t="shared" si="25"/>
        <v>0</v>
      </c>
      <c r="R123" s="98">
        <f>-E123*Solar_DCF!$F$21*(1+Solar_DCF!$F$17)^(Solar_DCF!A123)</f>
        <v>0</v>
      </c>
      <c r="S123" s="98">
        <f>-R123*Solar_DCF!$F$9</f>
        <v>0</v>
      </c>
      <c r="T123" s="124">
        <f t="shared" si="26"/>
        <v>0</v>
      </c>
      <c r="U123" s="124">
        <f t="shared" si="30"/>
        <v>0</v>
      </c>
      <c r="V123" s="68">
        <f t="shared" si="22"/>
        <v>0</v>
      </c>
      <c r="AA123" s="140"/>
      <c r="AB123" s="88"/>
      <c r="AC123" s="140"/>
    </row>
    <row r="124" spans="1:29" ht="14.4" x14ac:dyDescent="0.3">
      <c r="A124" s="35">
        <f t="shared" si="23"/>
        <v>32</v>
      </c>
      <c r="B124" s="44">
        <f>1/(1+Solar_DCF!$F$8)^A124</f>
        <v>4.7362440744766907E-2</v>
      </c>
      <c r="C124" s="36">
        <f>IF(A124&lt;(Solar_DCF!$F$6+1),1,0)</f>
        <v>0</v>
      </c>
      <c r="D124" s="36">
        <f>IF(A124&lt;(Solar_DCF!$F$11+1),1,0)</f>
        <v>0</v>
      </c>
      <c r="E124" s="36">
        <f>IF(A124&lt;(Solar_DCF!$F$12+1),1,0)</f>
        <v>0</v>
      </c>
      <c r="F124" s="98">
        <f xml:space="preserve"> -Solar_DCF!$F$32*D124</f>
        <v>0</v>
      </c>
      <c r="G124" s="124">
        <f>-F124*Solar_DCF!$F$9</f>
        <v>0</v>
      </c>
      <c r="H124" s="124">
        <f>-Solar_DCF!$F$28*C124</f>
        <v>0</v>
      </c>
      <c r="I124" s="98">
        <f t="shared" si="27"/>
        <v>-2.8739818239663458E-9</v>
      </c>
      <c r="J124" s="98">
        <f t="shared" si="24"/>
        <v>-3.0895304607638216E-9</v>
      </c>
      <c r="K124" s="98">
        <f>-I124*Solar_DCF!$F$7</f>
        <v>2.1554863679747592E-10</v>
      </c>
      <c r="L124" s="124">
        <f>-(K124*Solar_DCF!$F$9)</f>
        <v>0</v>
      </c>
      <c r="M124" s="98">
        <f>-Solar_DCF!$F$15*Solar_DCF!$F$23*E124*(1+Solar_DCF!$F$10)^A124</f>
        <v>0</v>
      </c>
      <c r="N124" s="98">
        <f>M124*Solar_DCF!$F$9</f>
        <v>0</v>
      </c>
      <c r="O124" s="98">
        <f t="shared" si="28"/>
        <v>0</v>
      </c>
      <c r="P124" s="98">
        <f t="shared" si="29"/>
        <v>0</v>
      </c>
      <c r="Q124" s="124">
        <f t="shared" si="25"/>
        <v>0</v>
      </c>
      <c r="R124" s="98">
        <f>-E124*Solar_DCF!$F$21*(1+Solar_DCF!$F$17)^(Solar_DCF!A124)</f>
        <v>0</v>
      </c>
      <c r="S124" s="98">
        <f>-R124*Solar_DCF!$F$9</f>
        <v>0</v>
      </c>
      <c r="T124" s="124">
        <f t="shared" si="26"/>
        <v>0</v>
      </c>
      <c r="U124" s="124">
        <f t="shared" si="30"/>
        <v>0</v>
      </c>
      <c r="V124" s="68">
        <f t="shared" si="22"/>
        <v>0</v>
      </c>
      <c r="AA124" s="140"/>
      <c r="AB124" s="88"/>
      <c r="AC124" s="140"/>
    </row>
    <row r="125" spans="1:29" ht="14.4" x14ac:dyDescent="0.3">
      <c r="A125" s="35">
        <f t="shared" si="23"/>
        <v>33</v>
      </c>
      <c r="B125" s="44">
        <f>1/(1+Solar_DCF!$F$8)^A125</f>
        <v>4.3056764313424457E-2</v>
      </c>
      <c r="C125" s="36">
        <f>IF(A125&lt;(Solar_DCF!$F$6+1),1,0)</f>
        <v>0</v>
      </c>
      <c r="D125" s="36">
        <f>IF(A125&lt;(Solar_DCF!$F$11+1),1,0)</f>
        <v>0</v>
      </c>
      <c r="E125" s="36">
        <f>IF(A125&lt;(Solar_DCF!$F$12+1),1,0)</f>
        <v>0</v>
      </c>
      <c r="F125" s="98">
        <f xml:space="preserve"> -Solar_DCF!$F$32*D125</f>
        <v>0</v>
      </c>
      <c r="G125" s="124">
        <f>-F125*Solar_DCF!$F$9</f>
        <v>0</v>
      </c>
      <c r="H125" s="124">
        <f>-Solar_DCF!$F$28*C125</f>
        <v>0</v>
      </c>
      <c r="I125" s="98">
        <f t="shared" si="27"/>
        <v>-3.0895304607638216E-9</v>
      </c>
      <c r="J125" s="98">
        <f t="shared" si="24"/>
        <v>-3.3212452453211083E-9</v>
      </c>
      <c r="K125" s="98">
        <f>-I125*Solar_DCF!$F$7</f>
        <v>2.3171478455728661E-10</v>
      </c>
      <c r="L125" s="124">
        <f>-(K125*Solar_DCF!$F$9)</f>
        <v>0</v>
      </c>
      <c r="M125" s="98">
        <f>-Solar_DCF!$F$15*Solar_DCF!$F$23*E125*(1+Solar_DCF!$F$10)^A125</f>
        <v>0</v>
      </c>
      <c r="N125" s="98">
        <f>M125*Solar_DCF!$F$9</f>
        <v>0</v>
      </c>
      <c r="O125" s="98">
        <f t="shared" si="28"/>
        <v>0</v>
      </c>
      <c r="P125" s="98">
        <f t="shared" si="29"/>
        <v>0</v>
      </c>
      <c r="Q125" s="124">
        <f t="shared" si="25"/>
        <v>0</v>
      </c>
      <c r="R125" s="98">
        <f>-E125*Solar_DCF!$F$21*(1+Solar_DCF!$F$17)^(Solar_DCF!A125)</f>
        <v>0</v>
      </c>
      <c r="S125" s="98">
        <f>-R125*Solar_DCF!$F$9</f>
        <v>0</v>
      </c>
      <c r="T125" s="124">
        <f t="shared" si="26"/>
        <v>0</v>
      </c>
      <c r="U125" s="124">
        <f t="shared" si="30"/>
        <v>0</v>
      </c>
      <c r="V125" s="68">
        <f t="shared" si="22"/>
        <v>0</v>
      </c>
      <c r="AA125" s="140"/>
      <c r="AB125" s="88"/>
      <c r="AC125" s="140"/>
    </row>
    <row r="126" spans="1:29" ht="14.4" x14ac:dyDescent="0.3">
      <c r="A126" s="35">
        <f t="shared" si="23"/>
        <v>34</v>
      </c>
      <c r="B126" s="44">
        <f>1/(1+Solar_DCF!$F$8)^A126</f>
        <v>3.9142513012204054E-2</v>
      </c>
      <c r="C126" s="36">
        <f>IF(A126&lt;(Solar_DCF!$F$6+1),1,0)</f>
        <v>0</v>
      </c>
      <c r="D126" s="36">
        <f>IF(A126&lt;(Solar_DCF!$F$11+1),1,0)</f>
        <v>0</v>
      </c>
      <c r="E126" s="36">
        <f>IF(A126&lt;(Solar_DCF!$F$12+1),1,0)</f>
        <v>0</v>
      </c>
      <c r="F126" s="98">
        <f xml:space="preserve"> -Solar_DCF!$F$32*D126</f>
        <v>0</v>
      </c>
      <c r="G126" s="124">
        <f>-F126*Solar_DCF!$F$9</f>
        <v>0</v>
      </c>
      <c r="H126" s="124">
        <f>-Solar_DCF!$F$28*C126</f>
        <v>0</v>
      </c>
      <c r="I126" s="98">
        <f t="shared" si="27"/>
        <v>-3.3212452453211083E-9</v>
      </c>
      <c r="J126" s="98">
        <f t="shared" si="24"/>
        <v>-3.5703386387201916E-9</v>
      </c>
      <c r="K126" s="98">
        <f>-I126*Solar_DCF!$F$7</f>
        <v>2.4909339339908311E-10</v>
      </c>
      <c r="L126" s="124">
        <f>-(K126*Solar_DCF!$F$9)</f>
        <v>0</v>
      </c>
      <c r="M126" s="98">
        <f>-Solar_DCF!$F$15*Solar_DCF!$F$23*E126*(1+Solar_DCF!$F$10)^A126</f>
        <v>0</v>
      </c>
      <c r="N126" s="98">
        <f>M126*Solar_DCF!$F$9</f>
        <v>0</v>
      </c>
      <c r="O126" s="98">
        <f t="shared" si="28"/>
        <v>0</v>
      </c>
      <c r="P126" s="98">
        <f t="shared" si="29"/>
        <v>0</v>
      </c>
      <c r="Q126" s="124">
        <f t="shared" si="25"/>
        <v>0</v>
      </c>
      <c r="R126" s="98">
        <f>-E126*Solar_DCF!$F$21*(1+Solar_DCF!$F$17)^(Solar_DCF!A126)</f>
        <v>0</v>
      </c>
      <c r="S126" s="98">
        <f>-R126*Solar_DCF!$F$9</f>
        <v>0</v>
      </c>
      <c r="T126" s="124">
        <f t="shared" si="26"/>
        <v>0</v>
      </c>
      <c r="U126" s="124">
        <f t="shared" si="30"/>
        <v>0</v>
      </c>
      <c r="V126" s="68">
        <f t="shared" si="22"/>
        <v>0</v>
      </c>
      <c r="AA126" s="140"/>
      <c r="AB126" s="88"/>
      <c r="AC126" s="140"/>
    </row>
    <row r="127" spans="1:29" ht="14.4" x14ac:dyDescent="0.3">
      <c r="A127" s="35">
        <f t="shared" si="23"/>
        <v>35</v>
      </c>
      <c r="B127" s="44">
        <f>1/(1+Solar_DCF!$F$8)^A127</f>
        <v>3.5584102738367311E-2</v>
      </c>
      <c r="C127" s="36">
        <f>IF(A127&lt;(Solar_DCF!$F$6+1),1,0)</f>
        <v>0</v>
      </c>
      <c r="D127" s="36">
        <f>IF(A127&lt;(Solar_DCF!$F$11+1),1,0)</f>
        <v>0</v>
      </c>
      <c r="E127" s="36">
        <f>IF(A127&lt;(Solar_DCF!$F$12+1),1,0)</f>
        <v>0</v>
      </c>
      <c r="F127" s="98">
        <f xml:space="preserve"> -Solar_DCF!$F$32*D127</f>
        <v>0</v>
      </c>
      <c r="G127" s="124">
        <f>-F127*Solar_DCF!$F$9</f>
        <v>0</v>
      </c>
      <c r="H127" s="124">
        <f>-Solar_DCF!$F$28*C127</f>
        <v>0</v>
      </c>
      <c r="I127" s="98">
        <f t="shared" si="27"/>
        <v>-3.5703386387201916E-9</v>
      </c>
      <c r="J127" s="98">
        <f t="shared" si="24"/>
        <v>-3.8381140366242059E-9</v>
      </c>
      <c r="K127" s="98">
        <f>-I127*Solar_DCF!$F$7</f>
        <v>2.6777539790401435E-10</v>
      </c>
      <c r="L127" s="124">
        <f>-(K127*Solar_DCF!$F$9)</f>
        <v>0</v>
      </c>
      <c r="M127" s="98">
        <f>-Solar_DCF!$F$15*Solar_DCF!$F$23*E127*(1+Solar_DCF!$F$10)^A127</f>
        <v>0</v>
      </c>
      <c r="N127" s="98">
        <f>M127*Solar_DCF!$F$9</f>
        <v>0</v>
      </c>
      <c r="O127" s="98">
        <f t="shared" si="28"/>
        <v>0</v>
      </c>
      <c r="P127" s="98">
        <f t="shared" si="29"/>
        <v>0</v>
      </c>
      <c r="Q127" s="124">
        <f t="shared" si="25"/>
        <v>0</v>
      </c>
      <c r="R127" s="98">
        <f>-E127*Solar_DCF!$F$21*(1+Solar_DCF!$F$17)^(Solar_DCF!A127)</f>
        <v>0</v>
      </c>
      <c r="S127" s="98">
        <f>-R127*Solar_DCF!$F$9</f>
        <v>0</v>
      </c>
      <c r="T127" s="124">
        <f t="shared" si="26"/>
        <v>0</v>
      </c>
      <c r="U127" s="124">
        <f t="shared" si="30"/>
        <v>0</v>
      </c>
      <c r="V127" s="68">
        <f t="shared" si="22"/>
        <v>0</v>
      </c>
      <c r="AA127" s="140"/>
      <c r="AB127" s="88"/>
      <c r="AC127" s="140"/>
    </row>
    <row r="128" spans="1:29" ht="14.4" x14ac:dyDescent="0.3">
      <c r="A128" s="35">
        <f t="shared" si="23"/>
        <v>36</v>
      </c>
      <c r="B128" s="44">
        <f>1/(1+Solar_DCF!$F$8)^A128</f>
        <v>3.2349184307606652E-2</v>
      </c>
      <c r="C128" s="36">
        <f>IF(A128&lt;(Solar_DCF!$F$6+1),1,0)</f>
        <v>0</v>
      </c>
      <c r="D128" s="36">
        <f>IF(A128&lt;(Solar_DCF!$F$11+1),1,0)</f>
        <v>0</v>
      </c>
      <c r="E128" s="36">
        <f>IF(A128&lt;(Solar_DCF!$F$12+1),1,0)</f>
        <v>0</v>
      </c>
      <c r="F128" s="98">
        <f xml:space="preserve"> -Solar_DCF!$F$32*D128</f>
        <v>0</v>
      </c>
      <c r="G128" s="124">
        <f>-F128*Solar_DCF!$F$9</f>
        <v>0</v>
      </c>
      <c r="H128" s="124">
        <f>-Solar_DCF!$F$28*C128</f>
        <v>0</v>
      </c>
      <c r="I128" s="98">
        <f t="shared" si="27"/>
        <v>-3.8381140366242059E-9</v>
      </c>
      <c r="J128" s="98">
        <f t="shared" si="24"/>
        <v>-4.1259725893710215E-9</v>
      </c>
      <c r="K128" s="98">
        <f>-I128*Solar_DCF!$F$7</f>
        <v>2.8785855274681543E-10</v>
      </c>
      <c r="L128" s="124">
        <f>-(K128*Solar_DCF!$F$9)</f>
        <v>0</v>
      </c>
      <c r="M128" s="98">
        <f>-Solar_DCF!$F$15*Solar_DCF!$F$23*E128*(1+Solar_DCF!$F$10)^A128</f>
        <v>0</v>
      </c>
      <c r="N128" s="98">
        <f>M128*Solar_DCF!$F$9</f>
        <v>0</v>
      </c>
      <c r="O128" s="98">
        <f t="shared" si="28"/>
        <v>0</v>
      </c>
      <c r="P128" s="98">
        <f t="shared" si="29"/>
        <v>0</v>
      </c>
      <c r="Q128" s="124">
        <f t="shared" si="25"/>
        <v>0</v>
      </c>
      <c r="R128" s="98">
        <f>-E128*Solar_DCF!$F$21*(1+Solar_DCF!$F$17)^(Solar_DCF!A128)</f>
        <v>0</v>
      </c>
      <c r="S128" s="98">
        <f>-R128*Solar_DCF!$F$9</f>
        <v>0</v>
      </c>
      <c r="T128" s="124">
        <f t="shared" si="26"/>
        <v>0</v>
      </c>
      <c r="U128" s="124">
        <f t="shared" si="30"/>
        <v>0</v>
      </c>
      <c r="V128" s="68">
        <f t="shared" si="22"/>
        <v>0</v>
      </c>
      <c r="AA128" s="140"/>
      <c r="AB128" s="88"/>
      <c r="AC128" s="140"/>
    </row>
    <row r="129" spans="1:29" ht="14.4" x14ac:dyDescent="0.3">
      <c r="A129" s="35">
        <f t="shared" si="23"/>
        <v>37</v>
      </c>
      <c r="B129" s="44">
        <f>1/(1+Solar_DCF!$F$8)^A129</f>
        <v>2.94083493705515E-2</v>
      </c>
      <c r="C129" s="36">
        <f>IF(A129&lt;(Solar_DCF!$F$6+1),1,0)</f>
        <v>0</v>
      </c>
      <c r="D129" s="36">
        <f>IF(A129&lt;(Solar_DCF!$F$11+1),1,0)</f>
        <v>0</v>
      </c>
      <c r="E129" s="36">
        <f>IF(A129&lt;(Solar_DCF!$F$12+1),1,0)</f>
        <v>0</v>
      </c>
      <c r="F129" s="98">
        <f xml:space="preserve"> -Solar_DCF!$F$32*D129</f>
        <v>0</v>
      </c>
      <c r="G129" s="124">
        <f>-F129*Solar_DCF!$F$9</f>
        <v>0</v>
      </c>
      <c r="H129" s="124">
        <f>-Solar_DCF!$F$28*C129</f>
        <v>0</v>
      </c>
      <c r="I129" s="98">
        <f t="shared" si="27"/>
        <v>-4.1259725893710215E-9</v>
      </c>
      <c r="J129" s="98">
        <f t="shared" si="24"/>
        <v>-4.435420533573848E-9</v>
      </c>
      <c r="K129" s="98">
        <f>-I129*Solar_DCF!$F$7</f>
        <v>3.094479442028266E-10</v>
      </c>
      <c r="L129" s="124">
        <f>-(K129*Solar_DCF!$F$9)</f>
        <v>0</v>
      </c>
      <c r="M129" s="98">
        <f>-Solar_DCF!$F$15*Solar_DCF!$F$23*E129*(1+Solar_DCF!$F$10)^A129</f>
        <v>0</v>
      </c>
      <c r="N129" s="98">
        <f>M129*Solar_DCF!$F$9</f>
        <v>0</v>
      </c>
      <c r="O129" s="98">
        <f t="shared" si="28"/>
        <v>0</v>
      </c>
      <c r="P129" s="98">
        <f t="shared" si="29"/>
        <v>0</v>
      </c>
      <c r="Q129" s="124">
        <f t="shared" si="25"/>
        <v>0</v>
      </c>
      <c r="R129" s="98">
        <f>-E129*Solar_DCF!$F$21*(1+Solar_DCF!$F$17)^(Solar_DCF!A129)</f>
        <v>0</v>
      </c>
      <c r="S129" s="98">
        <f>-R129*Solar_DCF!$F$9</f>
        <v>0</v>
      </c>
      <c r="T129" s="124">
        <f t="shared" si="26"/>
        <v>0</v>
      </c>
      <c r="U129" s="124">
        <f t="shared" si="30"/>
        <v>0</v>
      </c>
      <c r="V129" s="68">
        <f t="shared" si="22"/>
        <v>0</v>
      </c>
      <c r="AA129" s="140"/>
      <c r="AB129" s="88"/>
      <c r="AC129" s="140"/>
    </row>
    <row r="130" spans="1:29" ht="14.4" x14ac:dyDescent="0.3">
      <c r="A130" s="35">
        <f t="shared" si="23"/>
        <v>38</v>
      </c>
      <c r="B130" s="44">
        <f>1/(1+Solar_DCF!$F$8)^A130</f>
        <v>2.6734863064137721E-2</v>
      </c>
      <c r="C130" s="36">
        <f>IF(A130&lt;(Solar_DCF!$F$6+1),1,0)</f>
        <v>0</v>
      </c>
      <c r="D130" s="36">
        <f>IF(A130&lt;(Solar_DCF!$F$11+1),1,0)</f>
        <v>0</v>
      </c>
      <c r="E130" s="36">
        <f>IF(A130&lt;(Solar_DCF!$F$12+1),1,0)</f>
        <v>0</v>
      </c>
      <c r="F130" s="98">
        <f xml:space="preserve"> -Solar_DCF!$F$32*D130</f>
        <v>0</v>
      </c>
      <c r="G130" s="124">
        <f>-F130*Solar_DCF!$F$9</f>
        <v>0</v>
      </c>
      <c r="H130" s="124">
        <f>-Solar_DCF!$F$28*C130</f>
        <v>0</v>
      </c>
      <c r="I130" s="98">
        <f t="shared" si="27"/>
        <v>-4.435420533573848E-9</v>
      </c>
      <c r="J130" s="98">
        <f t="shared" si="24"/>
        <v>-4.7680770735918866E-9</v>
      </c>
      <c r="K130" s="98">
        <f>-I130*Solar_DCF!$F$7</f>
        <v>3.326565400180386E-10</v>
      </c>
      <c r="L130" s="124">
        <f>-(K130*Solar_DCF!$F$9)</f>
        <v>0</v>
      </c>
      <c r="M130" s="98">
        <f>-Solar_DCF!$F$15*Solar_DCF!$F$23*E130*(1+Solar_DCF!$F$10)^A130</f>
        <v>0</v>
      </c>
      <c r="N130" s="98">
        <f>M130*Solar_DCF!$F$9</f>
        <v>0</v>
      </c>
      <c r="O130" s="98">
        <f t="shared" si="28"/>
        <v>0</v>
      </c>
      <c r="P130" s="98">
        <f t="shared" si="29"/>
        <v>0</v>
      </c>
      <c r="Q130" s="124">
        <f t="shared" si="25"/>
        <v>0</v>
      </c>
      <c r="R130" s="98">
        <f>-E130*Solar_DCF!$F$21*(1+Solar_DCF!$F$17)^(Solar_DCF!A130)</f>
        <v>0</v>
      </c>
      <c r="S130" s="98">
        <f>-R130*Solar_DCF!$F$9</f>
        <v>0</v>
      </c>
      <c r="T130" s="124">
        <f t="shared" si="26"/>
        <v>0</v>
      </c>
      <c r="U130" s="124">
        <f t="shared" si="30"/>
        <v>0</v>
      </c>
      <c r="V130" s="68">
        <f t="shared" si="22"/>
        <v>0</v>
      </c>
      <c r="AA130" s="140"/>
      <c r="AB130" s="88"/>
      <c r="AC130" s="140"/>
    </row>
    <row r="131" spans="1:29" ht="14.4" x14ac:dyDescent="0.3">
      <c r="A131" s="35">
        <f t="shared" si="23"/>
        <v>39</v>
      </c>
      <c r="B131" s="44">
        <f>1/(1+Solar_DCF!$F$8)^A131</f>
        <v>2.4304420967397926E-2</v>
      </c>
      <c r="C131" s="36">
        <f>IF(A131&lt;(Solar_DCF!$F$6+1),1,0)</f>
        <v>0</v>
      </c>
      <c r="D131" s="36">
        <f>IF(A131&lt;(Solar_DCF!$F$11+1),1,0)</f>
        <v>0</v>
      </c>
      <c r="E131" s="36">
        <f>IF(A131&lt;(Solar_DCF!$F$12+1),1,0)</f>
        <v>0</v>
      </c>
      <c r="F131" s="98">
        <f xml:space="preserve"> -Solar_DCF!$F$32*D131</f>
        <v>0</v>
      </c>
      <c r="G131" s="124">
        <f>-F131*Solar_DCF!$F$9</f>
        <v>0</v>
      </c>
      <c r="H131" s="124">
        <f>-Solar_DCF!$F$28*C131</f>
        <v>0</v>
      </c>
      <c r="I131" s="98">
        <f t="shared" si="27"/>
        <v>-4.7680770735918866E-9</v>
      </c>
      <c r="J131" s="98">
        <f t="shared" si="24"/>
        <v>-5.1256828541112784E-9</v>
      </c>
      <c r="K131" s="98">
        <f>-I131*Solar_DCF!$F$7</f>
        <v>3.576057805193915E-10</v>
      </c>
      <c r="L131" s="124">
        <f>-(K131*Solar_DCF!$F$9)</f>
        <v>0</v>
      </c>
      <c r="M131" s="98">
        <f>-Solar_DCF!$F$15*Solar_DCF!$F$23*E131*(1+Solar_DCF!$F$10)^A131</f>
        <v>0</v>
      </c>
      <c r="N131" s="98">
        <f>M131*Solar_DCF!$F$9</f>
        <v>0</v>
      </c>
      <c r="O131" s="98">
        <f t="shared" si="28"/>
        <v>0</v>
      </c>
      <c r="P131" s="98">
        <f t="shared" si="29"/>
        <v>0</v>
      </c>
      <c r="Q131" s="124">
        <f t="shared" si="25"/>
        <v>0</v>
      </c>
      <c r="R131" s="98">
        <f>-E131*Solar_DCF!$F$21*(1+Solar_DCF!$F$17)^(Solar_DCF!A131)</f>
        <v>0</v>
      </c>
      <c r="S131" s="98">
        <f>-R131*Solar_DCF!$F$9</f>
        <v>0</v>
      </c>
      <c r="T131" s="124">
        <f t="shared" si="26"/>
        <v>0</v>
      </c>
      <c r="U131" s="124">
        <f t="shared" si="30"/>
        <v>0</v>
      </c>
      <c r="V131" s="68">
        <f t="shared" si="22"/>
        <v>0</v>
      </c>
      <c r="AA131" s="140"/>
      <c r="AB131" s="88"/>
      <c r="AC131" s="140"/>
    </row>
    <row r="132" spans="1:29" ht="14.4" x14ac:dyDescent="0.3">
      <c r="A132" s="35">
        <f t="shared" si="23"/>
        <v>40</v>
      </c>
      <c r="B132" s="44">
        <f>1/(1+Solar_DCF!$F$8)^A132</f>
        <v>2.2094928152179935E-2</v>
      </c>
      <c r="C132" s="36">
        <f>IF(A132&lt;(Solar_DCF!$F$6+1),1,0)</f>
        <v>0</v>
      </c>
      <c r="D132" s="36">
        <f>IF(A132&lt;(Solar_DCF!$F$11+1),1,0)</f>
        <v>0</v>
      </c>
      <c r="E132" s="36">
        <f>IF(A132&lt;(Solar_DCF!$F$12+1),1,0)</f>
        <v>0</v>
      </c>
      <c r="F132" s="98">
        <f xml:space="preserve"> -Solar_DCF!$F$32*D132</f>
        <v>0</v>
      </c>
      <c r="G132" s="124">
        <f>-F132*Solar_DCF!$F$9</f>
        <v>0</v>
      </c>
      <c r="H132" s="124">
        <f>-Solar_DCF!$F$28*C132</f>
        <v>0</v>
      </c>
      <c r="I132" s="98">
        <f t="shared" si="27"/>
        <v>-5.1256828541112784E-9</v>
      </c>
      <c r="J132" s="98">
        <f t="shared" si="24"/>
        <v>-5.5101090681696246E-9</v>
      </c>
      <c r="K132" s="98">
        <f>-I132*Solar_DCF!$F$7</f>
        <v>3.8442621405834589E-10</v>
      </c>
      <c r="L132" s="124">
        <f>-(K132*Solar_DCF!$F$9)</f>
        <v>0</v>
      </c>
      <c r="M132" s="98">
        <f>-Solar_DCF!$F$15*Solar_DCF!$F$23*E132*(1+Solar_DCF!$F$10)^A132</f>
        <v>0</v>
      </c>
      <c r="N132" s="98">
        <f>M132*Solar_DCF!$F$9</f>
        <v>0</v>
      </c>
      <c r="O132" s="98">
        <f t="shared" si="28"/>
        <v>0</v>
      </c>
      <c r="P132" s="98">
        <f t="shared" si="29"/>
        <v>0</v>
      </c>
      <c r="Q132" s="124">
        <f t="shared" si="25"/>
        <v>0</v>
      </c>
      <c r="R132" s="98">
        <f>-E132*Solar_DCF!$F$21*(1+Solar_DCF!$F$17)^(Solar_DCF!A132)</f>
        <v>0</v>
      </c>
      <c r="S132" s="98">
        <f>-R132*Solar_DCF!$F$9</f>
        <v>0</v>
      </c>
      <c r="T132" s="124">
        <f t="shared" si="26"/>
        <v>0</v>
      </c>
      <c r="U132" s="124">
        <f>G132+H132+L132+Q132+T132+IF(AND(E132=1,E133=0),$F$24,0)</f>
        <v>0</v>
      </c>
      <c r="V132" s="68">
        <f t="shared" si="22"/>
        <v>0</v>
      </c>
      <c r="AA132" s="140"/>
      <c r="AB132" s="88"/>
      <c r="AC132" s="140"/>
    </row>
  </sheetData>
  <mergeCells count="5">
    <mergeCell ref="B1:E1"/>
    <mergeCell ref="F1:I1"/>
    <mergeCell ref="B19:E19"/>
    <mergeCell ref="F19:I19"/>
    <mergeCell ref="J19:M19"/>
  </mergeCells>
  <pageMargins left="0.75" right="0.75" top="1" bottom="1" header="0.5" footer="0.5"/>
  <pageSetup paperSize="9"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3"/>
  <dimension ref="A1:AD89"/>
  <sheetViews>
    <sheetView topLeftCell="O67" workbookViewId="0">
      <selection activeCell="Z49" sqref="Z49:Z89"/>
    </sheetView>
  </sheetViews>
  <sheetFormatPr defaultColWidth="9.109375" defaultRowHeight="13.2" x14ac:dyDescent="0.25"/>
  <cols>
    <col min="1" max="1" width="41.33203125" style="4" customWidth="1"/>
    <col min="2" max="2" width="17.88671875" style="4" bestFit="1" customWidth="1"/>
    <col min="3" max="3" width="8.109375" style="4" customWidth="1"/>
    <col min="4" max="4" width="9.5546875" style="4" bestFit="1" customWidth="1"/>
    <col min="5" max="5" width="5.33203125" style="4" customWidth="1"/>
    <col min="6" max="6" width="14.88671875" style="4" bestFit="1" customWidth="1"/>
    <col min="7" max="7" width="15.44140625" style="4" bestFit="1" customWidth="1"/>
    <col min="8" max="8" width="17.44140625" style="4" bestFit="1" customWidth="1"/>
    <col min="9" max="10" width="14.44140625" style="4" bestFit="1" customWidth="1"/>
    <col min="11" max="11" width="15.44140625" style="4" bestFit="1" customWidth="1"/>
    <col min="12" max="12" width="14.88671875" style="4" customWidth="1"/>
    <col min="13" max="13" width="14.44140625" style="4" bestFit="1" customWidth="1"/>
    <col min="14" max="14" width="12.6640625" style="4" bestFit="1" customWidth="1"/>
    <col min="15" max="15" width="13.44140625" style="4" bestFit="1" customWidth="1"/>
    <col min="16" max="16" width="11.6640625" style="4" bestFit="1" customWidth="1"/>
    <col min="17" max="18" width="13.44140625" style="4" bestFit="1" customWidth="1"/>
    <col min="19" max="22" width="14.44140625" style="4" bestFit="1" customWidth="1"/>
    <col min="23" max="30" width="15.6640625" style="4" customWidth="1"/>
    <col min="31" max="31" width="12.6640625" style="4" bestFit="1" customWidth="1"/>
    <col min="32" max="32" width="12.109375" style="4" customWidth="1"/>
    <col min="33" max="16384" width="9.109375" style="4"/>
  </cols>
  <sheetData>
    <row r="1" spans="1:6" ht="20.399999999999999" thickBot="1" x14ac:dyDescent="0.45">
      <c r="A1" s="2" t="s">
        <v>4</v>
      </c>
    </row>
    <row r="2" spans="1:6" ht="13.8" thickTop="1" x14ac:dyDescent="0.25">
      <c r="A2" s="3" t="s">
        <v>3</v>
      </c>
      <c r="B2" s="4" t="s">
        <v>36</v>
      </c>
    </row>
    <row r="3" spans="1:6" x14ac:dyDescent="0.25">
      <c r="A3" s="5" t="s">
        <v>5</v>
      </c>
      <c r="B3" s="61">
        <f>'Heat Pump'!C5</f>
        <v>1274.6801011830869</v>
      </c>
      <c r="C3" s="6" t="s">
        <v>218</v>
      </c>
      <c r="D3" s="6"/>
      <c r="E3" s="6"/>
    </row>
    <row r="4" spans="1:6" x14ac:dyDescent="0.25">
      <c r="A4" s="5" t="s">
        <v>7</v>
      </c>
      <c r="B4" s="62">
        <f>'Heat Pump'!C4</f>
        <v>0.8</v>
      </c>
      <c r="C4" s="6"/>
      <c r="D4" s="6"/>
      <c r="E4" s="6"/>
      <c r="F4" s="4" t="s">
        <v>1</v>
      </c>
    </row>
    <row r="5" spans="1:6" x14ac:dyDescent="0.25">
      <c r="A5" s="5" t="s">
        <v>8</v>
      </c>
      <c r="B5" s="145">
        <f>'Heat Pump'!H18*'Heat Pump'!H19</f>
        <v>873.99206916729997</v>
      </c>
      <c r="C5" s="6" t="s">
        <v>232</v>
      </c>
      <c r="D5" s="6"/>
      <c r="E5" s="6"/>
    </row>
    <row r="6" spans="1:6" x14ac:dyDescent="0.25">
      <c r="A6" s="5" t="s">
        <v>10</v>
      </c>
      <c r="B6" s="18">
        <f>'General Parameters'!C7</f>
        <v>0.6</v>
      </c>
      <c r="C6" s="6" t="s">
        <v>1</v>
      </c>
      <c r="D6" s="6"/>
      <c r="E6" s="6"/>
    </row>
    <row r="7" spans="1:6" x14ac:dyDescent="0.25">
      <c r="A7" s="5" t="s">
        <v>11</v>
      </c>
      <c r="B7" s="18">
        <f>'General Parameters'!C8</f>
        <v>10</v>
      </c>
      <c r="C7" s="6" t="s">
        <v>12</v>
      </c>
      <c r="D7" s="6"/>
      <c r="E7" s="6"/>
    </row>
    <row r="8" spans="1:6" ht="14.4" x14ac:dyDescent="0.3">
      <c r="A8" s="5" t="s">
        <v>13</v>
      </c>
      <c r="B8" s="64">
        <f>'General Parameters'!C9</f>
        <v>7.4999999999999997E-2</v>
      </c>
      <c r="C8" s="6" t="s">
        <v>14</v>
      </c>
      <c r="D8" s="6"/>
      <c r="E8" s="6"/>
    </row>
    <row r="9" spans="1:6" ht="14.4" x14ac:dyDescent="0.3">
      <c r="A9" s="5" t="s">
        <v>15</v>
      </c>
      <c r="B9" s="64">
        <f>'General Parameters'!C10</f>
        <v>0.1</v>
      </c>
      <c r="C9" s="6" t="s">
        <v>14</v>
      </c>
      <c r="D9" s="6"/>
      <c r="E9" s="6"/>
    </row>
    <row r="10" spans="1:6" ht="14.4" x14ac:dyDescent="0.3">
      <c r="A10" s="5" t="s">
        <v>16</v>
      </c>
      <c r="B10" s="65">
        <f>'General Parameters'!C11</f>
        <v>0</v>
      </c>
      <c r="C10" s="6" t="s">
        <v>14</v>
      </c>
      <c r="D10" s="6"/>
      <c r="E10" s="6"/>
    </row>
    <row r="11" spans="1:6" x14ac:dyDescent="0.25">
      <c r="A11" s="5" t="s">
        <v>17</v>
      </c>
      <c r="B11" s="18">
        <f>'General Parameters'!C13</f>
        <v>15</v>
      </c>
      <c r="C11" s="6" t="s">
        <v>0</v>
      </c>
      <c r="D11" s="6"/>
      <c r="E11" s="6"/>
    </row>
    <row r="12" spans="1:6" x14ac:dyDescent="0.25">
      <c r="A12" s="5" t="s">
        <v>18</v>
      </c>
      <c r="B12" s="18">
        <f>'General Parameters'!C14</f>
        <v>20</v>
      </c>
      <c r="C12" s="6" t="s">
        <v>0</v>
      </c>
      <c r="D12" s="6"/>
      <c r="E12" s="6"/>
    </row>
    <row r="13" spans="1:6" ht="14.4" x14ac:dyDescent="0.3">
      <c r="A13" s="7" t="s">
        <v>19</v>
      </c>
      <c r="B13" s="64">
        <f>'General Parameters'!C15</f>
        <v>0.05</v>
      </c>
      <c r="C13" s="6" t="s">
        <v>14</v>
      </c>
      <c r="D13" s="6"/>
      <c r="E13" s="6"/>
    </row>
    <row r="14" spans="1:6" x14ac:dyDescent="0.25">
      <c r="A14" s="5" t="s">
        <v>37</v>
      </c>
      <c r="B14" s="18">
        <f>'Heat Pump'!C7</f>
        <v>0</v>
      </c>
      <c r="C14" s="6" t="s">
        <v>21</v>
      </c>
      <c r="D14" s="8">
        <f>B14/0.0036</f>
        <v>0</v>
      </c>
      <c r="E14" s="6" t="s">
        <v>20</v>
      </c>
    </row>
    <row r="15" spans="1:6" x14ac:dyDescent="0.25">
      <c r="A15" s="67" t="s">
        <v>38</v>
      </c>
      <c r="B15" s="18">
        <f>'Heat Pump'!C8</f>
        <v>0.02</v>
      </c>
      <c r="C15" s="6" t="s">
        <v>14</v>
      </c>
      <c r="D15" s="6"/>
      <c r="E15" s="6"/>
    </row>
    <row r="16" spans="1:6" ht="14.4" x14ac:dyDescent="0.3">
      <c r="A16" s="5" t="s">
        <v>23</v>
      </c>
      <c r="B16" s="66">
        <f>'General Parameters'!C12</f>
        <v>2.5000000000000001E-2</v>
      </c>
      <c r="C16" s="6" t="s">
        <v>14</v>
      </c>
      <c r="D16" s="6"/>
      <c r="E16" s="6"/>
    </row>
    <row r="17" spans="1:6" x14ac:dyDescent="0.25">
      <c r="A17" s="5" t="s">
        <v>24</v>
      </c>
      <c r="B17" s="18">
        <f>D17/0.0036</f>
        <v>27.777777777777779</v>
      </c>
      <c r="C17" s="6" t="s">
        <v>21</v>
      </c>
      <c r="D17" s="6">
        <f>'Heat Pump'!C10/100</f>
        <v>0.1</v>
      </c>
      <c r="E17" s="6" t="s">
        <v>20</v>
      </c>
    </row>
    <row r="18" spans="1:6" ht="14.4" x14ac:dyDescent="0.3">
      <c r="A18" s="5" t="s">
        <v>25</v>
      </c>
      <c r="B18" s="66">
        <f>'Heat Pump'!C11</f>
        <v>2.5000000000000001E-2</v>
      </c>
      <c r="C18" s="6"/>
      <c r="D18" s="6"/>
      <c r="E18" s="6"/>
    </row>
    <row r="19" spans="1:6" ht="14.4" x14ac:dyDescent="0.3">
      <c r="A19" s="67" t="s">
        <v>241</v>
      </c>
      <c r="B19" s="65">
        <f>'Heat Pump'!H17</f>
        <v>2.3321874999999999</v>
      </c>
      <c r="C19" s="6"/>
      <c r="D19" s="6"/>
      <c r="E19" s="6"/>
    </row>
    <row r="20" spans="1:6" x14ac:dyDescent="0.25">
      <c r="A20" s="3" t="s">
        <v>27</v>
      </c>
    </row>
    <row r="21" spans="1:6" x14ac:dyDescent="0.25">
      <c r="A21" s="5" t="s">
        <v>28</v>
      </c>
      <c r="B21" s="86">
        <f>B23/B19</f>
        <v>8932958.1490910742</v>
      </c>
      <c r="C21" s="6" t="s">
        <v>29</v>
      </c>
      <c r="D21" s="6">
        <f>D23/B19</f>
        <v>32158.649336727867</v>
      </c>
      <c r="E21" s="6" t="s">
        <v>32</v>
      </c>
    </row>
    <row r="22" spans="1:6" x14ac:dyDescent="0.25">
      <c r="A22" s="5" t="s">
        <v>30</v>
      </c>
      <c r="B22" s="86">
        <f>B21*B17*0.0036</f>
        <v>893295.8149091074</v>
      </c>
      <c r="C22" s="6"/>
      <c r="D22" s="19"/>
      <c r="E22" s="6"/>
    </row>
    <row r="23" spans="1:6" x14ac:dyDescent="0.25">
      <c r="A23" s="5" t="s">
        <v>31</v>
      </c>
      <c r="B23" s="86">
        <f>B3*B4*365*24*B19</f>
        <v>20833333.33333334</v>
      </c>
      <c r="C23" s="6" t="s">
        <v>29</v>
      </c>
      <c r="D23" s="6">
        <f>B23*0.0036</f>
        <v>75000.000000000015</v>
      </c>
      <c r="E23" s="6" t="s">
        <v>32</v>
      </c>
    </row>
    <row r="24" spans="1:6" x14ac:dyDescent="0.25">
      <c r="A24" s="5" t="s">
        <v>33</v>
      </c>
      <c r="B24" s="86">
        <f>B5*B3</f>
        <v>1114060.2991593895</v>
      </c>
      <c r="C24" s="6" t="s">
        <v>34</v>
      </c>
      <c r="D24" s="6"/>
      <c r="E24" s="6"/>
    </row>
    <row r="25" spans="1:6" x14ac:dyDescent="0.25">
      <c r="A25" s="5" t="s">
        <v>40</v>
      </c>
      <c r="B25" s="86">
        <f>B13*B24</f>
        <v>55703.014957969477</v>
      </c>
      <c r="C25" s="6" t="s">
        <v>34</v>
      </c>
      <c r="D25" s="6"/>
      <c r="E25" s="6"/>
    </row>
    <row r="26" spans="1:6" x14ac:dyDescent="0.25">
      <c r="A26" s="5" t="s">
        <v>41</v>
      </c>
      <c r="B26" s="86">
        <f>B24*B6</f>
        <v>668436.1794956337</v>
      </c>
      <c r="C26" s="6" t="s">
        <v>34</v>
      </c>
      <c r="D26" s="6"/>
      <c r="E26" s="6"/>
    </row>
    <row r="27" spans="1:6" x14ac:dyDescent="0.25">
      <c r="A27" s="5" t="s">
        <v>42</v>
      </c>
      <c r="B27" s="86">
        <f>B24-B26</f>
        <v>445624.11966375576</v>
      </c>
      <c r="C27" s="6" t="s">
        <v>34</v>
      </c>
      <c r="D27" s="6"/>
      <c r="E27" s="6"/>
    </row>
    <row r="28" spans="1:6" x14ac:dyDescent="0.25">
      <c r="A28" s="5" t="s">
        <v>43</v>
      </c>
      <c r="B28" s="20">
        <f>(B8*(1+B8)^B7)/((1+B8)^B7-1)</f>
        <v>0.14568592742612235</v>
      </c>
      <c r="C28" s="6" t="s">
        <v>14</v>
      </c>
      <c r="D28" s="6"/>
      <c r="E28" s="6"/>
    </row>
    <row r="29" spans="1:6" x14ac:dyDescent="0.25">
      <c r="A29" s="5" t="s">
        <v>44</v>
      </c>
      <c r="B29" s="21">
        <f>B28*B26</f>
        <v>97381.744734995387</v>
      </c>
      <c r="C29" s="6" t="s">
        <v>45</v>
      </c>
      <c r="D29" s="6"/>
      <c r="E29" s="6"/>
      <c r="F29" s="4" t="s">
        <v>1</v>
      </c>
    </row>
    <row r="30" spans="1:6" x14ac:dyDescent="0.25">
      <c r="A30" s="5" t="s">
        <v>46</v>
      </c>
      <c r="B30" s="20">
        <f>(B9*(1+B9)^B12)/((1+B9)^B12-1)</f>
        <v>0.11745962477254576</v>
      </c>
      <c r="C30" s="6" t="s">
        <v>14</v>
      </c>
      <c r="D30" s="6"/>
      <c r="E30" s="6"/>
    </row>
    <row r="31" spans="1:6" x14ac:dyDescent="0.25">
      <c r="A31" s="5" t="s">
        <v>47</v>
      </c>
      <c r="B31" s="20">
        <f>(1+B9)/(1+B16)-1</f>
        <v>7.317073170731736E-2</v>
      </c>
      <c r="C31" s="6"/>
      <c r="D31" s="6"/>
      <c r="E31" s="6"/>
    </row>
    <row r="32" spans="1:6" x14ac:dyDescent="0.25">
      <c r="A32" s="5" t="s">
        <v>48</v>
      </c>
      <c r="B32" s="20">
        <f>(B31*(1+B31)^B12)/((1+B31)^B12-1)</f>
        <v>9.6731649089452268E-2</v>
      </c>
      <c r="C32" s="6"/>
      <c r="D32" s="6"/>
      <c r="E32" s="6"/>
    </row>
    <row r="33" spans="1:30" x14ac:dyDescent="0.25">
      <c r="A33" s="7" t="s">
        <v>49</v>
      </c>
      <c r="B33" s="19">
        <f>B24/B11</f>
        <v>74270.686610625969</v>
      </c>
      <c r="C33" s="6" t="s">
        <v>34</v>
      </c>
      <c r="D33" s="6"/>
      <c r="E33" s="6"/>
    </row>
    <row r="34" spans="1:30" x14ac:dyDescent="0.25">
      <c r="A34" s="5" t="s">
        <v>50</v>
      </c>
      <c r="B34" s="19">
        <f>-SUM(HeatPump_DCF!V50:V89)</f>
        <v>10055212.431552153</v>
      </c>
      <c r="C34" s="6" t="s">
        <v>34</v>
      </c>
      <c r="D34" s="6"/>
      <c r="E34" s="6"/>
    </row>
    <row r="35" spans="1:30" x14ac:dyDescent="0.25">
      <c r="A35" s="5" t="s">
        <v>51</v>
      </c>
      <c r="B35" s="19">
        <f>B25/(1+B9)^B12*(1-B10)</f>
        <v>8279.8982352357161</v>
      </c>
      <c r="C35" s="6" t="s">
        <v>34</v>
      </c>
      <c r="D35" s="6"/>
      <c r="E35" s="6"/>
    </row>
    <row r="36" spans="1:30" x14ac:dyDescent="0.25">
      <c r="A36" s="5" t="s">
        <v>52</v>
      </c>
      <c r="B36" s="19">
        <f>B24-B26+B34</f>
        <v>10500836.551215909</v>
      </c>
      <c r="C36" s="6" t="s">
        <v>34</v>
      </c>
      <c r="D36" s="6"/>
      <c r="E36" s="6"/>
      <c r="F36" s="4" t="s">
        <v>1</v>
      </c>
    </row>
    <row r="37" spans="1:30" x14ac:dyDescent="0.25">
      <c r="A37" s="10" t="s">
        <v>108</v>
      </c>
      <c r="B37" s="22">
        <f>B30*$B$36/($B$23)</f>
        <v>5.9204367412975391E-2</v>
      </c>
      <c r="C37" s="12" t="s">
        <v>35</v>
      </c>
      <c r="D37" s="11">
        <f>B37/0.0036</f>
        <v>16.445657614715387</v>
      </c>
      <c r="E37" s="13" t="s">
        <v>21</v>
      </c>
    </row>
    <row r="38" spans="1:30" x14ac:dyDescent="0.25">
      <c r="A38" s="10" t="s">
        <v>109</v>
      </c>
      <c r="B38" s="22">
        <f>B37/(1-B10)</f>
        <v>5.9204367412975391E-2</v>
      </c>
      <c r="C38" s="12" t="s">
        <v>35</v>
      </c>
      <c r="D38" s="11">
        <f>B38/0.0036</f>
        <v>16.445657614715387</v>
      </c>
      <c r="E38" s="13" t="s">
        <v>21</v>
      </c>
      <c r="F38" s="4" t="s">
        <v>1</v>
      </c>
    </row>
    <row r="39" spans="1:30" x14ac:dyDescent="0.25">
      <c r="A39" s="14" t="s">
        <v>110</v>
      </c>
      <c r="B39" s="23">
        <f>B32*$B$36/($B$23)</f>
        <v>4.8756635348059733E-2</v>
      </c>
      <c r="C39" s="16" t="s">
        <v>35</v>
      </c>
      <c r="D39" s="15">
        <f>B39/0.0036</f>
        <v>13.543509818905482</v>
      </c>
      <c r="E39" s="17" t="s">
        <v>21</v>
      </c>
    </row>
    <row r="40" spans="1:30" x14ac:dyDescent="0.25">
      <c r="A40" s="10" t="s">
        <v>111</v>
      </c>
      <c r="B40" s="22">
        <f>B39/(1-B10)</f>
        <v>4.8756635348059733E-2</v>
      </c>
      <c r="C40" s="12" t="s">
        <v>35</v>
      </c>
      <c r="D40" s="11">
        <f>B40/0.0036</f>
        <v>13.543509818905482</v>
      </c>
      <c r="E40" s="13" t="s">
        <v>21</v>
      </c>
    </row>
    <row r="41" spans="1:30" x14ac:dyDescent="0.25">
      <c r="A41" s="24" t="s">
        <v>53</v>
      </c>
    </row>
    <row r="42" spans="1:30" ht="14.4" x14ac:dyDescent="0.3">
      <c r="A42" s="25" t="s">
        <v>54</v>
      </c>
      <c r="B42" s="9">
        <v>7.85E-2</v>
      </c>
      <c r="C42" s="26" t="s">
        <v>14</v>
      </c>
      <c r="D42" s="26"/>
      <c r="E42" s="26"/>
    </row>
    <row r="43" spans="1:30" x14ac:dyDescent="0.25">
      <c r="A43" s="25" t="s">
        <v>55</v>
      </c>
      <c r="B43" s="27">
        <f>(B42*(1+B42)^B12)/((1+B42)^B12-1)</f>
        <v>0.10071794368308355</v>
      </c>
      <c r="C43" s="26" t="s">
        <v>14</v>
      </c>
      <c r="D43" s="26"/>
      <c r="E43" s="26"/>
    </row>
    <row r="44" spans="1:30" x14ac:dyDescent="0.25">
      <c r="A44" s="25" t="s">
        <v>56</v>
      </c>
      <c r="B44" s="27">
        <f>B43+B15</f>
        <v>0.12071794368308356</v>
      </c>
      <c r="C44" s="26" t="s">
        <v>14</v>
      </c>
      <c r="D44" s="26"/>
      <c r="E44" s="26"/>
    </row>
    <row r="45" spans="1:30" x14ac:dyDescent="0.25">
      <c r="A45" s="28" t="s">
        <v>57</v>
      </c>
      <c r="B45" s="22">
        <f>(B24-B25/(1+B9)^B12)*B44/(B3*B4*365*24)+B14</f>
        <v>1.4943262235948327E-2</v>
      </c>
      <c r="C45" s="29" t="s">
        <v>35</v>
      </c>
      <c r="D45" s="29"/>
      <c r="E45" s="29"/>
    </row>
    <row r="46" spans="1:30" x14ac:dyDescent="0.25">
      <c r="A46" s="30"/>
      <c r="B46" s="22">
        <f>(B24-B25/(1+B42)^B12)*B44/(B3*B4*365*24)+B14</f>
        <v>1.4889099768583722E-2</v>
      </c>
      <c r="C46" s="29"/>
      <c r="D46" s="31"/>
      <c r="E46" s="31"/>
    </row>
    <row r="47" spans="1:30" x14ac:dyDescent="0.25">
      <c r="B47" s="22">
        <f>(B24-B25/(1+B9)^B12)*B44/(B3*B4*365*24)+B14</f>
        <v>1.4943262235948327E-2</v>
      </c>
      <c r="C47" s="29" t="s">
        <v>35</v>
      </c>
      <c r="U47" s="47"/>
      <c r="Y47" s="41"/>
      <c r="AD47" s="69"/>
    </row>
    <row r="48" spans="1:30" ht="52.8" x14ac:dyDescent="0.25">
      <c r="A48" s="32" t="s">
        <v>58</v>
      </c>
      <c r="B48" s="33" t="s">
        <v>59</v>
      </c>
      <c r="C48" s="33" t="s">
        <v>60</v>
      </c>
      <c r="D48" s="34" t="s">
        <v>61</v>
      </c>
      <c r="E48" s="34" t="s">
        <v>62</v>
      </c>
      <c r="F48" s="33" t="s">
        <v>63</v>
      </c>
      <c r="G48" s="45" t="s">
        <v>64</v>
      </c>
      <c r="H48" s="45" t="s">
        <v>65</v>
      </c>
      <c r="I48" s="33" t="s">
        <v>66</v>
      </c>
      <c r="J48" s="33" t="s">
        <v>67</v>
      </c>
      <c r="K48" s="33" t="s">
        <v>68</v>
      </c>
      <c r="L48" s="45" t="s">
        <v>82</v>
      </c>
      <c r="M48" s="33" t="s">
        <v>69</v>
      </c>
      <c r="N48" s="33" t="s">
        <v>70</v>
      </c>
      <c r="O48" s="33" t="s">
        <v>71</v>
      </c>
      <c r="P48" s="34" t="s">
        <v>72</v>
      </c>
      <c r="Q48" s="45" t="s">
        <v>83</v>
      </c>
      <c r="R48" s="33" t="s">
        <v>73</v>
      </c>
      <c r="S48" s="33" t="s">
        <v>74</v>
      </c>
      <c r="T48" s="46" t="s">
        <v>75</v>
      </c>
      <c r="U48" s="42" t="s">
        <v>224</v>
      </c>
      <c r="V48" s="43" t="s">
        <v>225</v>
      </c>
      <c r="W48" s="42" t="s">
        <v>78</v>
      </c>
      <c r="X48" s="42" t="s">
        <v>226</v>
      </c>
      <c r="Y48" s="43" t="s">
        <v>227</v>
      </c>
      <c r="Z48" s="42" t="s">
        <v>273</v>
      </c>
    </row>
    <row r="49" spans="1:26" ht="14.4" x14ac:dyDescent="0.3">
      <c r="A49" s="35">
        <v>0</v>
      </c>
      <c r="B49" s="44">
        <f>1/(1+HeatPump_DCF!$B$9)^A49</f>
        <v>1</v>
      </c>
      <c r="C49" s="35"/>
      <c r="D49" s="36"/>
      <c r="E49" s="36"/>
      <c r="F49" s="35"/>
      <c r="G49" s="39"/>
      <c r="H49" s="39"/>
      <c r="I49" s="35">
        <v>0</v>
      </c>
      <c r="J49" s="37"/>
      <c r="K49" s="35"/>
      <c r="L49" s="39"/>
      <c r="M49" s="35"/>
      <c r="N49" s="35"/>
      <c r="O49" s="35"/>
      <c r="P49" s="35"/>
      <c r="Q49" s="39"/>
      <c r="R49" s="35"/>
      <c r="S49" s="35"/>
      <c r="T49" s="39"/>
      <c r="U49" s="40">
        <f>-$B$27+IF(AND(E49=1,E50=0),$B$25,0)</f>
        <v>-445624.11966375576</v>
      </c>
      <c r="V49" s="38">
        <f>U49*B49</f>
        <v>-445624.11966375576</v>
      </c>
      <c r="W49" s="40">
        <f>Baseline_DCF!U49</f>
        <v>0</v>
      </c>
      <c r="X49" s="40">
        <f>V49-W49</f>
        <v>-445624.11966375576</v>
      </c>
      <c r="Y49" s="38">
        <f>X49*B49</f>
        <v>-445624.11966375576</v>
      </c>
      <c r="Z49" s="40">
        <f>-U49</f>
        <v>445624.11966375576</v>
      </c>
    </row>
    <row r="50" spans="1:26" ht="14.4" x14ac:dyDescent="0.3">
      <c r="A50" s="35">
        <f>A49+1</f>
        <v>1</v>
      </c>
      <c r="B50" s="44">
        <f>1/(1+HeatPump_DCF!$B$9)^A50</f>
        <v>0.90909090909090906</v>
      </c>
      <c r="C50" s="36">
        <f>IF(A50&lt;(HeatPump_DCF!$B$7+1),1,0)</f>
        <v>1</v>
      </c>
      <c r="D50" s="36">
        <f>IF(A50&lt;(HeatPump_DCF!$B$11+1),1,0)</f>
        <v>1</v>
      </c>
      <c r="E50" s="36">
        <f>IF(A50&lt;(HeatPump_DCF!$B$12+1),1,0)</f>
        <v>1</v>
      </c>
      <c r="F50" s="37">
        <f xml:space="preserve"> -HeatPump_DCF!$B$33*D50</f>
        <v>-74270.686610625969</v>
      </c>
      <c r="G50" s="40">
        <f>-F50*HeatPump_DCF!$B$10</f>
        <v>0</v>
      </c>
      <c r="H50" s="40">
        <f>-HeatPump_DCF!$B$29*C50</f>
        <v>-97381.744734995387</v>
      </c>
      <c r="I50" s="37">
        <f>HeatPump_DCF!B26</f>
        <v>668436.1794956337</v>
      </c>
      <c r="J50" s="37">
        <f t="shared" ref="J50:J89" si="0">I50+H50-K50</f>
        <v>621187.14822281082</v>
      </c>
      <c r="K50" s="37">
        <f>-I50*HeatPump_DCF!$B$8</f>
        <v>-50132.713462172527</v>
      </c>
      <c r="L50" s="40">
        <f>-(K50*HeatPump_DCF!$B$10)</f>
        <v>0</v>
      </c>
      <c r="M50" s="37">
        <f>-HeatPump_DCF!$B$15*HeatPump_DCF!$B$24*E50*(1+HeatPump_DCF!$B$16)^A50</f>
        <v>-22838.236132767481</v>
      </c>
      <c r="N50" s="37">
        <f>M50*HeatPump_DCF!$B$10</f>
        <v>0</v>
      </c>
      <c r="O50" s="37">
        <f>-E50*HeatPump_DCF!$D$23*HeatPump_DCF!$B$14*(1+HeatPump_DCF!$B$16)^A50</f>
        <v>0</v>
      </c>
      <c r="P50" s="37">
        <f>O50*HeatPump_DCF!$B$10</f>
        <v>0</v>
      </c>
      <c r="Q50" s="40">
        <f>(M50+O50-N50-P50)</f>
        <v>-22838.236132767481</v>
      </c>
      <c r="R50" s="37">
        <f>-E50*HeatPump_DCF!$B$22*(1+HeatPump_DCF!$B$18)^(HeatPump_DCF!A50)</f>
        <v>-915628.21028183505</v>
      </c>
      <c r="S50" s="37">
        <f>-R50*HeatPump_DCF!$B$10</f>
        <v>0</v>
      </c>
      <c r="T50" s="40">
        <f>R50+S50</f>
        <v>-915628.21028183505</v>
      </c>
      <c r="U50" s="40">
        <f>G50+H50+L50+Q50+T50+IF(AND(E50=1,E51=0),$B$25,0)</f>
        <v>-1035848.191149598</v>
      </c>
      <c r="V50" s="38">
        <f t="shared" ref="V50:V89" si="1">U50*B50</f>
        <v>-941680.17377236183</v>
      </c>
      <c r="W50" s="40">
        <f>Baseline_DCF!U50</f>
        <v>-1921874.9999999998</v>
      </c>
      <c r="X50" s="40">
        <f>V50-W50</f>
        <v>980194.82622763794</v>
      </c>
      <c r="Y50" s="38">
        <f t="shared" ref="Y50:Y89" si="2">X50*B50</f>
        <v>891086.20566148905</v>
      </c>
      <c r="Z50" s="40">
        <f t="shared" ref="Z50:Z89" si="3">-U50</f>
        <v>1035848.191149598</v>
      </c>
    </row>
    <row r="51" spans="1:26" ht="14.4" x14ac:dyDescent="0.3">
      <c r="A51" s="35">
        <f t="shared" ref="A51:A89" si="4">A50+1</f>
        <v>2</v>
      </c>
      <c r="B51" s="44">
        <f>1/(1+HeatPump_DCF!$B$9)^A51</f>
        <v>0.82644628099173545</v>
      </c>
      <c r="C51" s="36">
        <f>IF(A51&lt;(HeatPump_DCF!$B$7+1),1,0)</f>
        <v>1</v>
      </c>
      <c r="D51" s="36">
        <f>IF(A51&lt;(HeatPump_DCF!$B$11+1),1,0)</f>
        <v>1</v>
      </c>
      <c r="E51" s="36">
        <f>IF(A51&lt;(HeatPump_DCF!$B$12+1),1,0)</f>
        <v>1</v>
      </c>
      <c r="F51" s="37">
        <f xml:space="preserve"> -HeatPump_DCF!$B$33*D51</f>
        <v>-74270.686610625969</v>
      </c>
      <c r="G51" s="40">
        <f>-F51*HeatPump_DCF!$B$10</f>
        <v>0</v>
      </c>
      <c r="H51" s="40">
        <f>-HeatPump_DCF!$B$29*C51</f>
        <v>-97381.744734995387</v>
      </c>
      <c r="I51" s="37">
        <f>J50</f>
        <v>621187.14822281082</v>
      </c>
      <c r="J51" s="37">
        <f t="shared" si="0"/>
        <v>570394.43960452627</v>
      </c>
      <c r="K51" s="37">
        <f>-I51*HeatPump_DCF!$B$8</f>
        <v>-46589.036116710813</v>
      </c>
      <c r="L51" s="40">
        <f>-(K51*HeatPump_DCF!$B$10)</f>
        <v>0</v>
      </c>
      <c r="M51" s="37">
        <f>-HeatPump_DCF!$B$15*HeatPump_DCF!$B$24*E51*(1+HeatPump_DCF!$B$16)^A51</f>
        <v>-23409.192036086668</v>
      </c>
      <c r="N51" s="37">
        <f>M51*HeatPump_DCF!$B$10</f>
        <v>0</v>
      </c>
      <c r="O51" s="37">
        <f>-E51*HeatPump_DCF!$D$23*HeatPump_DCF!$B$14*(1+HeatPump_DCF!$B$16)^A51</f>
        <v>0</v>
      </c>
      <c r="P51" s="37">
        <f>O51*HeatPump_DCF!$B$10</f>
        <v>0</v>
      </c>
      <c r="Q51" s="40">
        <f t="shared" ref="Q51:Q89" si="5">(M51+O51-N51-P51)</f>
        <v>-23409.192036086668</v>
      </c>
      <c r="R51" s="37">
        <f>-E51*HeatPump_DCF!$B$22*(1+HeatPump_DCF!$B$18)^(HeatPump_DCF!A51)</f>
        <v>-938518.91553888086</v>
      </c>
      <c r="S51" s="37">
        <f>-R51*HeatPump_DCF!$B$10</f>
        <v>0</v>
      </c>
      <c r="T51" s="40">
        <f t="shared" ref="T51:T89" si="6">R51+S51</f>
        <v>-938518.91553888086</v>
      </c>
      <c r="U51" s="40">
        <f t="shared" ref="U51:U89" si="7">G51+H51+L51+Q51+T51+IF(AND(E51=1,E52=0),$B$25,0)</f>
        <v>-1059309.852309963</v>
      </c>
      <c r="V51" s="38">
        <f t="shared" si="1"/>
        <v>-875462.6878594734</v>
      </c>
      <c r="W51" s="40">
        <f>Baseline_DCF!U51</f>
        <v>-1969921.8749999998</v>
      </c>
      <c r="X51" s="40">
        <f t="shared" ref="X51:X89" si="8">V51-W51</f>
        <v>1094459.1871405263</v>
      </c>
      <c r="Y51" s="38">
        <f t="shared" si="2"/>
        <v>904511.72490952571</v>
      </c>
      <c r="Z51" s="40">
        <f t="shared" si="3"/>
        <v>1059309.852309963</v>
      </c>
    </row>
    <row r="52" spans="1:26" ht="14.4" x14ac:dyDescent="0.3">
      <c r="A52" s="35">
        <f t="shared" si="4"/>
        <v>3</v>
      </c>
      <c r="B52" s="44">
        <f>1/(1+HeatPump_DCF!$B$9)^A52</f>
        <v>0.75131480090157754</v>
      </c>
      <c r="C52" s="36">
        <f>IF(A52&lt;(HeatPump_DCF!$B$7+1),1,0)</f>
        <v>1</v>
      </c>
      <c r="D52" s="36">
        <f>IF(A52&lt;(HeatPump_DCF!$B$11+1),1,0)</f>
        <v>1</v>
      </c>
      <c r="E52" s="36">
        <f>IF(A52&lt;(HeatPump_DCF!$B$12+1),1,0)</f>
        <v>1</v>
      </c>
      <c r="F52" s="37">
        <f xml:space="preserve"> -HeatPump_DCF!$B$33*D52</f>
        <v>-74270.686610625969</v>
      </c>
      <c r="G52" s="40">
        <f>-F52*HeatPump_DCF!$B$10</f>
        <v>0</v>
      </c>
      <c r="H52" s="40">
        <f>-HeatPump_DCF!$B$29*C52</f>
        <v>-97381.744734995387</v>
      </c>
      <c r="I52" s="37">
        <f t="shared" ref="I52:I64" si="9">J51</f>
        <v>570394.43960452627</v>
      </c>
      <c r="J52" s="37">
        <f t="shared" si="0"/>
        <v>515792.27783987031</v>
      </c>
      <c r="K52" s="37">
        <f>-I52*HeatPump_DCF!$B$8</f>
        <v>-42779.58297033947</v>
      </c>
      <c r="L52" s="40">
        <f>-(K52*HeatPump_DCF!$B$10)</f>
        <v>0</v>
      </c>
      <c r="M52" s="37">
        <f>-HeatPump_DCF!$B$15*HeatPump_DCF!$B$24*E52*(1+HeatPump_DCF!$B$16)^A52</f>
        <v>-23994.421836988833</v>
      </c>
      <c r="N52" s="37">
        <f>M52*HeatPump_DCF!$B$10</f>
        <v>0</v>
      </c>
      <c r="O52" s="37">
        <f>-E52*HeatPump_DCF!$D$23*HeatPump_DCF!$B$14*(1+HeatPump_DCF!$B$16)^A52</f>
        <v>0</v>
      </c>
      <c r="P52" s="37">
        <f>O52*HeatPump_DCF!$B$10</f>
        <v>0</v>
      </c>
      <c r="Q52" s="40">
        <f t="shared" si="5"/>
        <v>-23994.421836988833</v>
      </c>
      <c r="R52" s="37">
        <f>-E52*HeatPump_DCF!$B$22*(1+HeatPump_DCF!$B$18)^(HeatPump_DCF!A52)</f>
        <v>-961981.88842735288</v>
      </c>
      <c r="S52" s="37">
        <f>-R52*HeatPump_DCF!$B$10</f>
        <v>0</v>
      </c>
      <c r="T52" s="40">
        <f t="shared" si="6"/>
        <v>-961981.88842735288</v>
      </c>
      <c r="U52" s="40">
        <f t="shared" si="7"/>
        <v>-1083358.0549993371</v>
      </c>
      <c r="V52" s="38">
        <f t="shared" si="1"/>
        <v>-813942.94139694725</v>
      </c>
      <c r="W52" s="40">
        <f>Baseline_DCF!U52</f>
        <v>-2019169.9218749998</v>
      </c>
      <c r="X52" s="40">
        <f t="shared" si="8"/>
        <v>1205226.9804780525</v>
      </c>
      <c r="Y52" s="38">
        <f t="shared" si="2"/>
        <v>905504.86887907749</v>
      </c>
      <c r="Z52" s="40">
        <f t="shared" si="3"/>
        <v>1083358.0549993371</v>
      </c>
    </row>
    <row r="53" spans="1:26" ht="14.4" x14ac:dyDescent="0.3">
      <c r="A53" s="35">
        <f t="shared" si="4"/>
        <v>4</v>
      </c>
      <c r="B53" s="44">
        <f>1/(1+HeatPump_DCF!$B$9)^A53</f>
        <v>0.68301345536507052</v>
      </c>
      <c r="C53" s="36">
        <f>IF(A53&lt;(HeatPump_DCF!$B$7+1),1,0)</f>
        <v>1</v>
      </c>
      <c r="D53" s="36">
        <f>IF(A53&lt;(HeatPump_DCF!$B$11+1),1,0)</f>
        <v>1</v>
      </c>
      <c r="E53" s="36">
        <f>IF(A53&lt;(HeatPump_DCF!$B$12+1),1,0)</f>
        <v>1</v>
      </c>
      <c r="F53" s="37">
        <f xml:space="preserve"> -HeatPump_DCF!$B$33*D53</f>
        <v>-74270.686610625969</v>
      </c>
      <c r="G53" s="40">
        <f>-F53*HeatPump_DCF!$B$10</f>
        <v>0</v>
      </c>
      <c r="H53" s="40">
        <f>-HeatPump_DCF!$B$29*C53</f>
        <v>-97381.744734995387</v>
      </c>
      <c r="I53" s="37">
        <f t="shared" si="9"/>
        <v>515792.27783987031</v>
      </c>
      <c r="J53" s="37">
        <f t="shared" si="0"/>
        <v>457094.95394286513</v>
      </c>
      <c r="K53" s="37">
        <f>-I53*HeatPump_DCF!$B$8</f>
        <v>-38684.42083799027</v>
      </c>
      <c r="L53" s="40">
        <f>-(K53*HeatPump_DCF!$B$10)</f>
        <v>0</v>
      </c>
      <c r="M53" s="37">
        <f>-HeatPump_DCF!$B$15*HeatPump_DCF!$B$24*E53*(1+HeatPump_DCF!$B$16)^A53</f>
        <v>-24594.282382913552</v>
      </c>
      <c r="N53" s="37">
        <f>M53*HeatPump_DCF!$B$10</f>
        <v>0</v>
      </c>
      <c r="O53" s="37">
        <f>-E53*HeatPump_DCF!$D$23*HeatPump_DCF!$B$14*(1+HeatPump_DCF!$B$16)^A53</f>
        <v>0</v>
      </c>
      <c r="P53" s="37">
        <f>O53*HeatPump_DCF!$B$10</f>
        <v>0</v>
      </c>
      <c r="Q53" s="40">
        <f t="shared" si="5"/>
        <v>-24594.282382913552</v>
      </c>
      <c r="R53" s="37">
        <f>-E53*HeatPump_DCF!$B$22*(1+HeatPump_DCF!$B$18)^(HeatPump_DCF!A53)</f>
        <v>-986031.43563803658</v>
      </c>
      <c r="S53" s="37">
        <f>-R53*HeatPump_DCF!$B$10</f>
        <v>0</v>
      </c>
      <c r="T53" s="40">
        <f t="shared" si="6"/>
        <v>-986031.43563803658</v>
      </c>
      <c r="U53" s="40">
        <f t="shared" si="7"/>
        <v>-1108007.4627559455</v>
      </c>
      <c r="V53" s="38">
        <f t="shared" si="1"/>
        <v>-756784.00570722308</v>
      </c>
      <c r="W53" s="40">
        <f>Baseline_DCF!U53</f>
        <v>-2069649.1699218745</v>
      </c>
      <c r="X53" s="40">
        <f t="shared" si="8"/>
        <v>1312865.1642146516</v>
      </c>
      <c r="Y53" s="38">
        <f t="shared" si="2"/>
        <v>896704.57223867986</v>
      </c>
      <c r="Z53" s="40">
        <f t="shared" si="3"/>
        <v>1108007.4627559455</v>
      </c>
    </row>
    <row r="54" spans="1:26" ht="14.4" x14ac:dyDescent="0.3">
      <c r="A54" s="35">
        <f t="shared" si="4"/>
        <v>5</v>
      </c>
      <c r="B54" s="44">
        <f>1/(1+HeatPump_DCF!$B$9)^A54</f>
        <v>0.62092132305915493</v>
      </c>
      <c r="C54" s="36">
        <f>IF(A54&lt;(HeatPump_DCF!$B$7+1),1,0)</f>
        <v>1</v>
      </c>
      <c r="D54" s="36">
        <f>IF(A54&lt;(HeatPump_DCF!$B$11+1),1,0)</f>
        <v>1</v>
      </c>
      <c r="E54" s="36">
        <f>IF(A54&lt;(HeatPump_DCF!$B$12+1),1,0)</f>
        <v>1</v>
      </c>
      <c r="F54" s="37">
        <f xml:space="preserve"> -HeatPump_DCF!$B$33*D54</f>
        <v>-74270.686610625969</v>
      </c>
      <c r="G54" s="40">
        <f>-F54*HeatPump_DCF!$B$10</f>
        <v>0</v>
      </c>
      <c r="H54" s="40">
        <f>-HeatPump_DCF!$B$29*C54</f>
        <v>-97381.744734995387</v>
      </c>
      <c r="I54" s="37">
        <f t="shared" si="9"/>
        <v>457094.95394286513</v>
      </c>
      <c r="J54" s="37">
        <f t="shared" si="0"/>
        <v>393995.33075358463</v>
      </c>
      <c r="K54" s="37">
        <f>-I54*HeatPump_DCF!$B$8</f>
        <v>-34282.121545714886</v>
      </c>
      <c r="L54" s="40">
        <f>-(K54*HeatPump_DCF!$B$10)</f>
        <v>0</v>
      </c>
      <c r="M54" s="37">
        <f>-HeatPump_DCF!$B$15*HeatPump_DCF!$B$24*E54*(1+HeatPump_DCF!$B$16)^A54</f>
        <v>-25209.13944248639</v>
      </c>
      <c r="N54" s="37">
        <f>M54*HeatPump_DCF!$B$10</f>
        <v>0</v>
      </c>
      <c r="O54" s="37">
        <f>-E54*HeatPump_DCF!$D$23*HeatPump_DCF!$B$14*(1+HeatPump_DCF!$B$16)^A54</f>
        <v>0</v>
      </c>
      <c r="P54" s="37">
        <f>O54*HeatPump_DCF!$B$10</f>
        <v>0</v>
      </c>
      <c r="Q54" s="40">
        <f t="shared" si="5"/>
        <v>-25209.13944248639</v>
      </c>
      <c r="R54" s="37">
        <f>-E54*HeatPump_DCF!$B$22*(1+HeatPump_DCF!$B$18)^(HeatPump_DCF!A54)</f>
        <v>-1010682.2215289874</v>
      </c>
      <c r="S54" s="37">
        <f>-R54*HeatPump_DCF!$B$10</f>
        <v>0</v>
      </c>
      <c r="T54" s="40">
        <f t="shared" si="6"/>
        <v>-1010682.2215289874</v>
      </c>
      <c r="U54" s="40">
        <f t="shared" si="7"/>
        <v>-1133273.1057064692</v>
      </c>
      <c r="V54" s="38">
        <f t="shared" si="1"/>
        <v>-703673.43618261837</v>
      </c>
      <c r="W54" s="40">
        <f>Baseline_DCF!U54</f>
        <v>-2121390.3991699214</v>
      </c>
      <c r="X54" s="40">
        <f t="shared" si="8"/>
        <v>1417716.962987303</v>
      </c>
      <c r="Y54" s="38">
        <f t="shared" si="2"/>
        <v>880290.69238148315</v>
      </c>
      <c r="Z54" s="40">
        <f t="shared" si="3"/>
        <v>1133273.1057064692</v>
      </c>
    </row>
    <row r="55" spans="1:26" ht="14.4" x14ac:dyDescent="0.3">
      <c r="A55" s="35">
        <f t="shared" si="4"/>
        <v>6</v>
      </c>
      <c r="B55" s="44">
        <f>1/(1+HeatPump_DCF!$B$9)^A55</f>
        <v>0.56447393005377722</v>
      </c>
      <c r="C55" s="36">
        <f>IF(A55&lt;(HeatPump_DCF!$B$7+1),1,0)</f>
        <v>1</v>
      </c>
      <c r="D55" s="36">
        <f>IF(A55&lt;(HeatPump_DCF!$B$11+1),1,0)</f>
        <v>1</v>
      </c>
      <c r="E55" s="36">
        <f>IF(A55&lt;(HeatPump_DCF!$B$12+1),1,0)</f>
        <v>1</v>
      </c>
      <c r="F55" s="37">
        <f xml:space="preserve"> -HeatPump_DCF!$B$33*D55</f>
        <v>-74270.686610625969</v>
      </c>
      <c r="G55" s="40">
        <f>-F55*HeatPump_DCF!$B$10</f>
        <v>0</v>
      </c>
      <c r="H55" s="40">
        <f>-HeatPump_DCF!$B$29*C55</f>
        <v>-97381.744734995387</v>
      </c>
      <c r="I55" s="37">
        <f t="shared" si="9"/>
        <v>393995.33075358463</v>
      </c>
      <c r="J55" s="37">
        <f t="shared" si="0"/>
        <v>326163.23582510807</v>
      </c>
      <c r="K55" s="37">
        <f>-I55*HeatPump_DCF!$B$8</f>
        <v>-29549.649806518846</v>
      </c>
      <c r="L55" s="40">
        <f>-(K55*HeatPump_DCF!$B$10)</f>
        <v>0</v>
      </c>
      <c r="M55" s="37">
        <f>-HeatPump_DCF!$B$15*HeatPump_DCF!$B$24*E55*(1+HeatPump_DCF!$B$16)^A55</f>
        <v>-25839.367928548549</v>
      </c>
      <c r="N55" s="37">
        <f>M55*HeatPump_DCF!$B$10</f>
        <v>0</v>
      </c>
      <c r="O55" s="37">
        <f>-E55*HeatPump_DCF!$D$23*HeatPump_DCF!$B$14*(1+HeatPump_DCF!$B$16)^A55</f>
        <v>0</v>
      </c>
      <c r="P55" s="37">
        <f>O55*HeatPump_DCF!$B$10</f>
        <v>0</v>
      </c>
      <c r="Q55" s="40">
        <f t="shared" si="5"/>
        <v>-25839.367928548549</v>
      </c>
      <c r="R55" s="37">
        <f>-E55*HeatPump_DCF!$B$22*(1+HeatPump_DCF!$B$18)^(HeatPump_DCF!A55)</f>
        <v>-1035949.277067212</v>
      </c>
      <c r="S55" s="37">
        <f>-R55*HeatPump_DCF!$B$10</f>
        <v>0</v>
      </c>
      <c r="T55" s="40">
        <f t="shared" si="6"/>
        <v>-1035949.277067212</v>
      </c>
      <c r="U55" s="40">
        <f t="shared" si="7"/>
        <v>-1159170.3897307559</v>
      </c>
      <c r="V55" s="38">
        <f t="shared" si="1"/>
        <v>-654321.46549328836</v>
      </c>
      <c r="W55" s="40">
        <f>Baseline_DCF!U55</f>
        <v>-2174425.159149169</v>
      </c>
      <c r="X55" s="40">
        <f t="shared" si="8"/>
        <v>1520103.6936558806</v>
      </c>
      <c r="Y55" s="38">
        <f t="shared" si="2"/>
        <v>858058.90604719799</v>
      </c>
      <c r="Z55" s="40">
        <f t="shared" si="3"/>
        <v>1159170.3897307559</v>
      </c>
    </row>
    <row r="56" spans="1:26" ht="14.4" x14ac:dyDescent="0.3">
      <c r="A56" s="35">
        <f t="shared" si="4"/>
        <v>7</v>
      </c>
      <c r="B56" s="44">
        <f>1/(1+HeatPump_DCF!$B$9)^A56</f>
        <v>0.51315811823070645</v>
      </c>
      <c r="C56" s="36">
        <f>IF(A56&lt;(HeatPump_DCF!$B$7+1),1,0)</f>
        <v>1</v>
      </c>
      <c r="D56" s="36">
        <f>IF(A56&lt;(HeatPump_DCF!$B$11+1),1,0)</f>
        <v>1</v>
      </c>
      <c r="E56" s="36">
        <f>IF(A56&lt;(HeatPump_DCF!$B$12+1),1,0)</f>
        <v>1</v>
      </c>
      <c r="F56" s="37">
        <f xml:space="preserve"> -HeatPump_DCF!$B$33*D56</f>
        <v>-74270.686610625969</v>
      </c>
      <c r="G56" s="40">
        <f>-F56*HeatPump_DCF!$B$10</f>
        <v>0</v>
      </c>
      <c r="H56" s="40">
        <f>-HeatPump_DCF!$B$29*C56</f>
        <v>-97381.744734995387</v>
      </c>
      <c r="I56" s="37">
        <f t="shared" si="9"/>
        <v>326163.23582510807</v>
      </c>
      <c r="J56" s="37">
        <f t="shared" si="0"/>
        <v>253243.7337769958</v>
      </c>
      <c r="K56" s="37">
        <f>-I56*HeatPump_DCF!$B$8</f>
        <v>-24462.242686883106</v>
      </c>
      <c r="L56" s="40">
        <f>-(K56*HeatPump_DCF!$B$10)</f>
        <v>0</v>
      </c>
      <c r="M56" s="37">
        <f>-HeatPump_DCF!$B$15*HeatPump_DCF!$B$24*E56*(1+HeatPump_DCF!$B$16)^A56</f>
        <v>-26485.352126762264</v>
      </c>
      <c r="N56" s="37">
        <f>M56*HeatPump_DCF!$B$10</f>
        <v>0</v>
      </c>
      <c r="O56" s="37">
        <f>-E56*HeatPump_DCF!$D$23*HeatPump_DCF!$B$14*(1+HeatPump_DCF!$B$16)^A56</f>
        <v>0</v>
      </c>
      <c r="P56" s="37">
        <f>O56*HeatPump_DCF!$B$10</f>
        <v>0</v>
      </c>
      <c r="Q56" s="40">
        <f t="shared" si="5"/>
        <v>-26485.352126762264</v>
      </c>
      <c r="R56" s="37">
        <f>-E56*HeatPump_DCF!$B$22*(1+HeatPump_DCF!$B$18)^(HeatPump_DCF!A56)</f>
        <v>-1061848.0089938925</v>
      </c>
      <c r="S56" s="37">
        <f>-R56*HeatPump_DCF!$B$10</f>
        <v>0</v>
      </c>
      <c r="T56" s="40">
        <f t="shared" si="6"/>
        <v>-1061848.0089938925</v>
      </c>
      <c r="U56" s="40">
        <f t="shared" si="7"/>
        <v>-1185715.10585565</v>
      </c>
      <c r="V56" s="38">
        <f t="shared" si="1"/>
        <v>-608459.33247860824</v>
      </c>
      <c r="W56" s="40">
        <f>Baseline_DCF!U56</f>
        <v>-2228785.7881278982</v>
      </c>
      <c r="X56" s="40">
        <f t="shared" si="8"/>
        <v>1620326.45564929</v>
      </c>
      <c r="Y56" s="38">
        <f t="shared" si="2"/>
        <v>831483.67490041989</v>
      </c>
      <c r="Z56" s="40">
        <f t="shared" si="3"/>
        <v>1185715.10585565</v>
      </c>
    </row>
    <row r="57" spans="1:26" ht="14.4" x14ac:dyDescent="0.3">
      <c r="A57" s="35">
        <f t="shared" si="4"/>
        <v>8</v>
      </c>
      <c r="B57" s="44">
        <f>1/(1+HeatPump_DCF!$B$9)^A57</f>
        <v>0.46650738020973315</v>
      </c>
      <c r="C57" s="36">
        <f>IF(A57&lt;(HeatPump_DCF!$B$7+1),1,0)</f>
        <v>1</v>
      </c>
      <c r="D57" s="36">
        <f>IF(A57&lt;(HeatPump_DCF!$B$11+1),1,0)</f>
        <v>1</v>
      </c>
      <c r="E57" s="36">
        <f>IF(A57&lt;(HeatPump_DCF!$B$12+1),1,0)</f>
        <v>1</v>
      </c>
      <c r="F57" s="37">
        <f xml:space="preserve"> -HeatPump_DCF!$B$33*D57</f>
        <v>-74270.686610625969</v>
      </c>
      <c r="G57" s="40">
        <f>-F57*HeatPump_DCF!$B$10</f>
        <v>0</v>
      </c>
      <c r="H57" s="40">
        <f>-HeatPump_DCF!$B$29*C57</f>
        <v>-97381.744734995387</v>
      </c>
      <c r="I57" s="37">
        <f t="shared" si="9"/>
        <v>253243.7337769958</v>
      </c>
      <c r="J57" s="37">
        <f t="shared" si="0"/>
        <v>174855.26907527511</v>
      </c>
      <c r="K57" s="37">
        <f>-I57*HeatPump_DCF!$B$8</f>
        <v>-18993.280033274685</v>
      </c>
      <c r="L57" s="40">
        <f>-(K57*HeatPump_DCF!$B$10)</f>
        <v>0</v>
      </c>
      <c r="M57" s="37">
        <f>-HeatPump_DCF!$B$15*HeatPump_DCF!$B$24*E57*(1+HeatPump_DCF!$B$16)^A57</f>
        <v>-27147.485929931318</v>
      </c>
      <c r="N57" s="37">
        <f>M57*HeatPump_DCF!$B$10</f>
        <v>0</v>
      </c>
      <c r="O57" s="37">
        <f>-E57*HeatPump_DCF!$D$23*HeatPump_DCF!$B$14*(1+HeatPump_DCF!$B$16)^A57</f>
        <v>0</v>
      </c>
      <c r="P57" s="37">
        <f>O57*HeatPump_DCF!$B$10</f>
        <v>0</v>
      </c>
      <c r="Q57" s="40">
        <f t="shared" si="5"/>
        <v>-27147.485929931318</v>
      </c>
      <c r="R57" s="37">
        <f>-E57*HeatPump_DCF!$B$22*(1+HeatPump_DCF!$B$18)^(HeatPump_DCF!A57)</f>
        <v>-1088394.2092187395</v>
      </c>
      <c r="S57" s="37">
        <f>-R57*HeatPump_DCF!$B$10</f>
        <v>0</v>
      </c>
      <c r="T57" s="40">
        <f t="shared" si="6"/>
        <v>-1088394.2092187395</v>
      </c>
      <c r="U57" s="40">
        <f t="shared" si="7"/>
        <v>-1212923.4398836661</v>
      </c>
      <c r="V57" s="38">
        <f t="shared" si="1"/>
        <v>-565837.73633510678</v>
      </c>
      <c r="W57" s="40">
        <f>Baseline_DCF!U57</f>
        <v>-2284505.4328310955</v>
      </c>
      <c r="X57" s="40">
        <f t="shared" si="8"/>
        <v>1718667.6964959889</v>
      </c>
      <c r="Y57" s="38">
        <f t="shared" si="2"/>
        <v>801771.16454344057</v>
      </c>
      <c r="Z57" s="40">
        <f t="shared" si="3"/>
        <v>1212923.4398836661</v>
      </c>
    </row>
    <row r="58" spans="1:26" ht="14.4" x14ac:dyDescent="0.3">
      <c r="A58" s="35">
        <f t="shared" si="4"/>
        <v>9</v>
      </c>
      <c r="B58" s="44">
        <f>1/(1+HeatPump_DCF!$B$9)^A58</f>
        <v>0.42409761837248466</v>
      </c>
      <c r="C58" s="36">
        <f>IF(A58&lt;(HeatPump_DCF!$B$7+1),1,0)</f>
        <v>1</v>
      </c>
      <c r="D58" s="36">
        <f>IF(A58&lt;(HeatPump_DCF!$B$11+1),1,0)</f>
        <v>1</v>
      </c>
      <c r="E58" s="36">
        <f>IF(A58&lt;(HeatPump_DCF!$B$12+1),1,0)</f>
        <v>1</v>
      </c>
      <c r="F58" s="37">
        <f xml:space="preserve"> -HeatPump_DCF!$B$33*D58</f>
        <v>-74270.686610625969</v>
      </c>
      <c r="G58" s="40">
        <f>-F58*HeatPump_DCF!$B$10</f>
        <v>0</v>
      </c>
      <c r="H58" s="40">
        <f>-HeatPump_DCF!$B$29*C58</f>
        <v>-97381.744734995387</v>
      </c>
      <c r="I58" s="37">
        <f t="shared" si="9"/>
        <v>174855.26907527511</v>
      </c>
      <c r="J58" s="37">
        <f t="shared" si="0"/>
        <v>90587.669520925352</v>
      </c>
      <c r="K58" s="37">
        <f>-I58*HeatPump_DCF!$B$8</f>
        <v>-13114.145180645633</v>
      </c>
      <c r="L58" s="40">
        <f>-(K58*HeatPump_DCF!$B$10)</f>
        <v>0</v>
      </c>
      <c r="M58" s="37">
        <f>-HeatPump_DCF!$B$15*HeatPump_DCF!$B$24*E58*(1+HeatPump_DCF!$B$16)^A58</f>
        <v>-27826.173078179596</v>
      </c>
      <c r="N58" s="37">
        <f>M58*HeatPump_DCF!$B$10</f>
        <v>0</v>
      </c>
      <c r="O58" s="37">
        <f>-E58*HeatPump_DCF!$D$23*HeatPump_DCF!$B$14*(1+HeatPump_DCF!$B$16)^A58</f>
        <v>0</v>
      </c>
      <c r="P58" s="37">
        <f>O58*HeatPump_DCF!$B$10</f>
        <v>0</v>
      </c>
      <c r="Q58" s="40">
        <f t="shared" si="5"/>
        <v>-27826.173078179596</v>
      </c>
      <c r="R58" s="37">
        <f>-E58*HeatPump_DCF!$B$22*(1+HeatPump_DCF!$B$18)^(HeatPump_DCF!A58)</f>
        <v>-1115604.0644492079</v>
      </c>
      <c r="S58" s="37">
        <f>-R58*HeatPump_DCF!$B$10</f>
        <v>0</v>
      </c>
      <c r="T58" s="40">
        <f t="shared" si="6"/>
        <v>-1115604.0644492079</v>
      </c>
      <c r="U58" s="40">
        <f t="shared" si="7"/>
        <v>-1240811.9822623827</v>
      </c>
      <c r="V58" s="38">
        <f t="shared" si="1"/>
        <v>-526225.40652551816</v>
      </c>
      <c r="W58" s="40">
        <f>Baseline_DCF!U58</f>
        <v>-2341618.0686518727</v>
      </c>
      <c r="X58" s="40">
        <f t="shared" si="8"/>
        <v>1815392.6621263544</v>
      </c>
      <c r="Y58" s="38">
        <f t="shared" si="2"/>
        <v>769903.70441867167</v>
      </c>
      <c r="Z58" s="40">
        <f t="shared" si="3"/>
        <v>1240811.9822623827</v>
      </c>
    </row>
    <row r="59" spans="1:26" ht="14.4" x14ac:dyDescent="0.3">
      <c r="A59" s="35">
        <f t="shared" si="4"/>
        <v>10</v>
      </c>
      <c r="B59" s="44">
        <f>1/(1+HeatPump_DCF!$B$9)^A59</f>
        <v>0.38554328942953148</v>
      </c>
      <c r="C59" s="36">
        <f>IF(A59&lt;(HeatPump_DCF!$B$7+1),1,0)</f>
        <v>1</v>
      </c>
      <c r="D59" s="36">
        <f>IF(A59&lt;(HeatPump_DCF!$B$11+1),1,0)</f>
        <v>1</v>
      </c>
      <c r="E59" s="36">
        <f>IF(A59&lt;(HeatPump_DCF!$B$12+1),1,0)</f>
        <v>1</v>
      </c>
      <c r="F59" s="37">
        <f xml:space="preserve"> -HeatPump_DCF!$B$33*D59</f>
        <v>-74270.686610625969</v>
      </c>
      <c r="G59" s="40">
        <f>-F59*HeatPump_DCF!$B$10</f>
        <v>0</v>
      </c>
      <c r="H59" s="40">
        <f>-HeatPump_DCF!$B$29*C59</f>
        <v>-97381.744734995387</v>
      </c>
      <c r="I59" s="37">
        <f t="shared" si="9"/>
        <v>90587.669520925352</v>
      </c>
      <c r="J59" s="37">
        <f t="shared" si="0"/>
        <v>-6.3391780713573098E-10</v>
      </c>
      <c r="K59" s="37">
        <f>-I59*HeatPump_DCF!$B$8</f>
        <v>-6794.0752140694012</v>
      </c>
      <c r="L59" s="40">
        <f>-(K59*HeatPump_DCF!$B$10)</f>
        <v>0</v>
      </c>
      <c r="M59" s="37">
        <f>-HeatPump_DCF!$B$15*HeatPump_DCF!$B$24*E59*(1+HeatPump_DCF!$B$16)^A59</f>
        <v>-28521.827405134085</v>
      </c>
      <c r="N59" s="37">
        <f>M59*HeatPump_DCF!$B$10</f>
        <v>0</v>
      </c>
      <c r="O59" s="37">
        <f>-E59*HeatPump_DCF!$D$23*HeatPump_DCF!$B$14*(1+HeatPump_DCF!$B$16)^A59</f>
        <v>0</v>
      </c>
      <c r="P59" s="37">
        <f>O59*HeatPump_DCF!$B$10</f>
        <v>0</v>
      </c>
      <c r="Q59" s="40">
        <f t="shared" si="5"/>
        <v>-28521.827405134085</v>
      </c>
      <c r="R59" s="37">
        <f>-E59*HeatPump_DCF!$B$22*(1+HeatPump_DCF!$B$18)^(HeatPump_DCF!A59)</f>
        <v>-1143494.1660604381</v>
      </c>
      <c r="S59" s="37">
        <f>-R59*HeatPump_DCF!$B$10</f>
        <v>0</v>
      </c>
      <c r="T59" s="40">
        <f t="shared" si="6"/>
        <v>-1143494.1660604381</v>
      </c>
      <c r="U59" s="40">
        <f t="shared" si="7"/>
        <v>-1269397.7382005677</v>
      </c>
      <c r="V59" s="38">
        <f t="shared" si="1"/>
        <v>-489407.77958025411</v>
      </c>
      <c r="W59" s="40">
        <f>Baseline_DCF!U59</f>
        <v>-2400158.5203681695</v>
      </c>
      <c r="X59" s="40">
        <f t="shared" si="8"/>
        <v>1910750.7407879154</v>
      </c>
      <c r="Y59" s="38">
        <f t="shared" si="2"/>
        <v>736677.12588328694</v>
      </c>
      <c r="Z59" s="40">
        <f t="shared" si="3"/>
        <v>1269397.7382005677</v>
      </c>
    </row>
    <row r="60" spans="1:26" ht="14.4" x14ac:dyDescent="0.3">
      <c r="A60" s="35">
        <f t="shared" si="4"/>
        <v>11</v>
      </c>
      <c r="B60" s="44">
        <f>1/(1+HeatPump_DCF!$B$9)^A60</f>
        <v>0.3504938994813922</v>
      </c>
      <c r="C60" s="36">
        <f>IF(A60&lt;(HeatPump_DCF!$B$7+1),1,0)</f>
        <v>0</v>
      </c>
      <c r="D60" s="36">
        <f>IF(A60&lt;(HeatPump_DCF!$B$11+1),1,0)</f>
        <v>1</v>
      </c>
      <c r="E60" s="36">
        <f>IF(A60&lt;(HeatPump_DCF!$B$12+1),1,0)</f>
        <v>1</v>
      </c>
      <c r="F60" s="37">
        <f xml:space="preserve"> -HeatPump_DCF!$B$33*D60</f>
        <v>-74270.686610625969</v>
      </c>
      <c r="G60" s="40">
        <f>-F60*HeatPump_DCF!$B$10</f>
        <v>0</v>
      </c>
      <c r="H60" s="40">
        <f>-HeatPump_DCF!$B$29*C60</f>
        <v>0</v>
      </c>
      <c r="I60" s="37">
        <f t="shared" si="9"/>
        <v>-6.3391780713573098E-10</v>
      </c>
      <c r="J60" s="37">
        <f t="shared" si="0"/>
        <v>-6.8146164267091078E-10</v>
      </c>
      <c r="K60" s="37">
        <f>-I60*HeatPump_DCF!$B$8</f>
        <v>4.7543835535179822E-11</v>
      </c>
      <c r="L60" s="40">
        <f>-(K60*HeatPump_DCF!$B$10)</f>
        <v>0</v>
      </c>
      <c r="M60" s="37">
        <f>-HeatPump_DCF!$B$15*HeatPump_DCF!$B$24*E60*(1+HeatPump_DCF!$B$16)^A60</f>
        <v>-29234.873090262437</v>
      </c>
      <c r="N60" s="37">
        <f>M60*HeatPump_DCF!$B$10</f>
        <v>0</v>
      </c>
      <c r="O60" s="37">
        <f>-E60*HeatPump_DCF!$D$23*HeatPump_DCF!$B$14*(1+HeatPump_DCF!$B$16)^A60</f>
        <v>0</v>
      </c>
      <c r="P60" s="37">
        <f>O60*HeatPump_DCF!$B$10</f>
        <v>0</v>
      </c>
      <c r="Q60" s="40">
        <f t="shared" si="5"/>
        <v>-29234.873090262437</v>
      </c>
      <c r="R60" s="37">
        <f>-E60*HeatPump_DCF!$B$22*(1+HeatPump_DCF!$B$18)^(HeatPump_DCF!A60)</f>
        <v>-1172081.520211949</v>
      </c>
      <c r="S60" s="37">
        <f>-R60*HeatPump_DCF!$B$10</f>
        <v>0</v>
      </c>
      <c r="T60" s="40">
        <f t="shared" si="6"/>
        <v>-1172081.520211949</v>
      </c>
      <c r="U60" s="40">
        <f t="shared" si="7"/>
        <v>-1201316.3933022115</v>
      </c>
      <c r="V60" s="38">
        <f t="shared" si="1"/>
        <v>-421054.06719941396</v>
      </c>
      <c r="W60" s="40">
        <f>Baseline_DCF!U60</f>
        <v>-2460162.4833773738</v>
      </c>
      <c r="X60" s="40">
        <f t="shared" si="8"/>
        <v>2039108.4161779599</v>
      </c>
      <c r="Y60" s="38">
        <f t="shared" si="2"/>
        <v>714695.06025153876</v>
      </c>
      <c r="Z60" s="40">
        <f t="shared" si="3"/>
        <v>1201316.3933022115</v>
      </c>
    </row>
    <row r="61" spans="1:26" ht="14.4" x14ac:dyDescent="0.3">
      <c r="A61" s="35">
        <f t="shared" si="4"/>
        <v>12</v>
      </c>
      <c r="B61" s="44">
        <f>1/(1+HeatPump_DCF!$B$9)^A61</f>
        <v>0.31863081771035656</v>
      </c>
      <c r="C61" s="36">
        <f>IF(A61&lt;(HeatPump_DCF!$B$7+1),1,0)</f>
        <v>0</v>
      </c>
      <c r="D61" s="36">
        <f>IF(A61&lt;(HeatPump_DCF!$B$11+1),1,0)</f>
        <v>1</v>
      </c>
      <c r="E61" s="36">
        <f>IF(A61&lt;(HeatPump_DCF!$B$12+1),1,0)</f>
        <v>1</v>
      </c>
      <c r="F61" s="37">
        <f xml:space="preserve"> -HeatPump_DCF!$B$33*D61</f>
        <v>-74270.686610625969</v>
      </c>
      <c r="G61" s="40">
        <f>-F61*HeatPump_DCF!$B$10</f>
        <v>0</v>
      </c>
      <c r="H61" s="40">
        <f>-HeatPump_DCF!$B$29*C61</f>
        <v>0</v>
      </c>
      <c r="I61" s="37">
        <f t="shared" si="9"/>
        <v>-6.8146164267091078E-10</v>
      </c>
      <c r="J61" s="37">
        <f t="shared" si="0"/>
        <v>-7.3257126587122905E-10</v>
      </c>
      <c r="K61" s="37">
        <f>-I61*HeatPump_DCF!$B$8</f>
        <v>5.110962320031831E-11</v>
      </c>
      <c r="L61" s="40">
        <f>-(K61*HeatPump_DCF!$B$10)</f>
        <v>0</v>
      </c>
      <c r="M61" s="37">
        <f>-HeatPump_DCF!$B$15*HeatPump_DCF!$B$24*E61*(1+HeatPump_DCF!$B$16)^A61</f>
        <v>-29965.744917518994</v>
      </c>
      <c r="N61" s="37">
        <f>M61*HeatPump_DCF!$B$10</f>
        <v>0</v>
      </c>
      <c r="O61" s="37">
        <f>-E61*HeatPump_DCF!$D$23*HeatPump_DCF!$B$14*(1+HeatPump_DCF!$B$16)^A61</f>
        <v>0</v>
      </c>
      <c r="P61" s="37">
        <f>O61*HeatPump_DCF!$B$10</f>
        <v>0</v>
      </c>
      <c r="Q61" s="40">
        <f t="shared" si="5"/>
        <v>-29965.744917518994</v>
      </c>
      <c r="R61" s="37">
        <f>-E61*HeatPump_DCF!$B$22*(1+HeatPump_DCF!$B$18)^(HeatPump_DCF!A61)</f>
        <v>-1201383.5582172477</v>
      </c>
      <c r="S61" s="37">
        <f>-R61*HeatPump_DCF!$B$10</f>
        <v>0</v>
      </c>
      <c r="T61" s="40">
        <f t="shared" si="6"/>
        <v>-1201383.5582172477</v>
      </c>
      <c r="U61" s="40">
        <f t="shared" si="7"/>
        <v>-1231349.3031347666</v>
      </c>
      <c r="V61" s="38">
        <f t="shared" si="1"/>
        <v>-392345.83534490841</v>
      </c>
      <c r="W61" s="40">
        <f>Baseline_DCF!U61</f>
        <v>-2521666.5454618079</v>
      </c>
      <c r="X61" s="40">
        <f t="shared" si="8"/>
        <v>2129320.7101168996</v>
      </c>
      <c r="Y61" s="38">
        <f t="shared" si="2"/>
        <v>678467.19903214485</v>
      </c>
      <c r="Z61" s="40">
        <f t="shared" si="3"/>
        <v>1231349.3031347666</v>
      </c>
    </row>
    <row r="62" spans="1:26" ht="14.4" x14ac:dyDescent="0.3">
      <c r="A62" s="35">
        <f t="shared" si="4"/>
        <v>13</v>
      </c>
      <c r="B62" s="44">
        <f>1/(1+HeatPump_DCF!$B$9)^A62</f>
        <v>0.28966437973668779</v>
      </c>
      <c r="C62" s="36">
        <f>IF(A62&lt;(HeatPump_DCF!$B$7+1),1,0)</f>
        <v>0</v>
      </c>
      <c r="D62" s="36">
        <f>IF(A62&lt;(HeatPump_DCF!$B$11+1),1,0)</f>
        <v>1</v>
      </c>
      <c r="E62" s="36">
        <f>IF(A62&lt;(HeatPump_DCF!$B$12+1),1,0)</f>
        <v>1</v>
      </c>
      <c r="F62" s="37">
        <f xml:space="preserve"> -HeatPump_DCF!$B$33*D62</f>
        <v>-74270.686610625969</v>
      </c>
      <c r="G62" s="40">
        <f>-F62*HeatPump_DCF!$B$10</f>
        <v>0</v>
      </c>
      <c r="H62" s="40">
        <f>-HeatPump_DCF!$B$29*C62</f>
        <v>0</v>
      </c>
      <c r="I62" s="37">
        <f t="shared" si="9"/>
        <v>-7.3257126587122905E-10</v>
      </c>
      <c r="J62" s="37">
        <f t="shared" si="0"/>
        <v>-7.8751411081157121E-10</v>
      </c>
      <c r="K62" s="37">
        <f>-I62*HeatPump_DCF!$B$8</f>
        <v>5.4942844940342177E-11</v>
      </c>
      <c r="L62" s="40">
        <f>-(K62*HeatPump_DCF!$B$10)</f>
        <v>0</v>
      </c>
      <c r="M62" s="37">
        <f>-HeatPump_DCF!$B$15*HeatPump_DCF!$B$24*E62*(1+HeatPump_DCF!$B$16)^A62</f>
        <v>-30714.88854045697</v>
      </c>
      <c r="N62" s="37">
        <f>M62*HeatPump_DCF!$B$10</f>
        <v>0</v>
      </c>
      <c r="O62" s="37">
        <f>-E62*HeatPump_DCF!$D$23*HeatPump_DCF!$B$14*(1+HeatPump_DCF!$B$16)^A62</f>
        <v>0</v>
      </c>
      <c r="P62" s="37">
        <f>O62*HeatPump_DCF!$B$10</f>
        <v>0</v>
      </c>
      <c r="Q62" s="40">
        <f t="shared" si="5"/>
        <v>-30714.88854045697</v>
      </c>
      <c r="R62" s="37">
        <f>-E62*HeatPump_DCF!$B$22*(1+HeatPump_DCF!$B$18)^(HeatPump_DCF!A62)</f>
        <v>-1231418.1471726787</v>
      </c>
      <c r="S62" s="37">
        <f>-R62*HeatPump_DCF!$B$10</f>
        <v>0</v>
      </c>
      <c r="T62" s="40">
        <f t="shared" si="6"/>
        <v>-1231418.1471726787</v>
      </c>
      <c r="U62" s="40">
        <f t="shared" si="7"/>
        <v>-1262133.0357131357</v>
      </c>
      <c r="V62" s="38">
        <f t="shared" si="1"/>
        <v>-365594.98293502827</v>
      </c>
      <c r="W62" s="40">
        <f>Baseline_DCF!U62</f>
        <v>-2584708.2090983531</v>
      </c>
      <c r="X62" s="40">
        <f t="shared" si="8"/>
        <v>2219113.2261633249</v>
      </c>
      <c r="Y62" s="38">
        <f t="shared" si="2"/>
        <v>642798.05622207967</v>
      </c>
      <c r="Z62" s="40">
        <f t="shared" si="3"/>
        <v>1262133.0357131357</v>
      </c>
    </row>
    <row r="63" spans="1:26" ht="14.4" x14ac:dyDescent="0.3">
      <c r="A63" s="35">
        <f t="shared" si="4"/>
        <v>14</v>
      </c>
      <c r="B63" s="44">
        <f>1/(1+HeatPump_DCF!$B$9)^A63</f>
        <v>0.26333125430607973</v>
      </c>
      <c r="C63" s="36">
        <f>IF(A63&lt;(HeatPump_DCF!$B$7+1),1,0)</f>
        <v>0</v>
      </c>
      <c r="D63" s="36">
        <f>IF(A63&lt;(HeatPump_DCF!$B$11+1),1,0)</f>
        <v>1</v>
      </c>
      <c r="E63" s="36">
        <f>IF(A63&lt;(HeatPump_DCF!$B$12+1),1,0)</f>
        <v>1</v>
      </c>
      <c r="F63" s="37">
        <f xml:space="preserve"> -HeatPump_DCF!$B$33*D63</f>
        <v>-74270.686610625969</v>
      </c>
      <c r="G63" s="40">
        <f>-F63*HeatPump_DCF!$B$10</f>
        <v>0</v>
      </c>
      <c r="H63" s="40">
        <f>-HeatPump_DCF!$B$29*C63</f>
        <v>0</v>
      </c>
      <c r="I63" s="37">
        <f t="shared" si="9"/>
        <v>-7.8751411081157121E-10</v>
      </c>
      <c r="J63" s="37">
        <f t="shared" si="0"/>
        <v>-8.4657766912243907E-10</v>
      </c>
      <c r="K63" s="37">
        <f>-I63*HeatPump_DCF!$B$8</f>
        <v>5.9063558310867838E-11</v>
      </c>
      <c r="L63" s="40">
        <f>-(K63*HeatPump_DCF!$B$10)</f>
        <v>0</v>
      </c>
      <c r="M63" s="37">
        <f>-HeatPump_DCF!$B$15*HeatPump_DCF!$B$24*E63*(1+HeatPump_DCF!$B$16)^A63</f>
        <v>-31482.760753968389</v>
      </c>
      <c r="N63" s="37">
        <f>M63*HeatPump_DCF!$B$10</f>
        <v>0</v>
      </c>
      <c r="O63" s="37">
        <f>-E63*HeatPump_DCF!$D$23*HeatPump_DCF!$B$14*(1+HeatPump_DCF!$B$16)^A63</f>
        <v>0</v>
      </c>
      <c r="P63" s="37">
        <f>O63*HeatPump_DCF!$B$10</f>
        <v>0</v>
      </c>
      <c r="Q63" s="40">
        <f t="shared" si="5"/>
        <v>-31482.760753968389</v>
      </c>
      <c r="R63" s="37">
        <f>-E63*HeatPump_DCF!$B$22*(1+HeatPump_DCF!$B$18)^(HeatPump_DCF!A63)</f>
        <v>-1262203.6008519956</v>
      </c>
      <c r="S63" s="37">
        <f>-R63*HeatPump_DCF!$B$10</f>
        <v>0</v>
      </c>
      <c r="T63" s="40">
        <f t="shared" si="6"/>
        <v>-1262203.6008519956</v>
      </c>
      <c r="U63" s="40">
        <f t="shared" si="7"/>
        <v>-1293686.3616059641</v>
      </c>
      <c r="V63" s="38">
        <f t="shared" si="1"/>
        <v>-340668.05228036718</v>
      </c>
      <c r="W63" s="40">
        <f>Baseline_DCF!U63</f>
        <v>-2649325.9143258114</v>
      </c>
      <c r="X63" s="40">
        <f t="shared" si="8"/>
        <v>2308657.8620454441</v>
      </c>
      <c r="Y63" s="38">
        <f t="shared" si="2"/>
        <v>607941.77057601919</v>
      </c>
      <c r="Z63" s="40">
        <f t="shared" si="3"/>
        <v>1293686.3616059641</v>
      </c>
    </row>
    <row r="64" spans="1:26" ht="14.4" x14ac:dyDescent="0.3">
      <c r="A64" s="35">
        <f t="shared" si="4"/>
        <v>15</v>
      </c>
      <c r="B64" s="44">
        <f>1/(1+HeatPump_DCF!$B$9)^A64</f>
        <v>0.23939204936916339</v>
      </c>
      <c r="C64" s="36">
        <f>IF(A64&lt;(HeatPump_DCF!$B$7+1),1,0)</f>
        <v>0</v>
      </c>
      <c r="D64" s="36">
        <f>IF(A64&lt;(HeatPump_DCF!$B$11+1),1,0)</f>
        <v>1</v>
      </c>
      <c r="E64" s="36">
        <f>IF(A64&lt;(HeatPump_DCF!$B$12+1),1,0)</f>
        <v>1</v>
      </c>
      <c r="F64" s="37">
        <f xml:space="preserve"> -HeatPump_DCF!$B$33*D64</f>
        <v>-74270.686610625969</v>
      </c>
      <c r="G64" s="40">
        <f>-F64*HeatPump_DCF!$B$10</f>
        <v>0</v>
      </c>
      <c r="H64" s="40">
        <f>-HeatPump_DCF!$B$29*C64</f>
        <v>0</v>
      </c>
      <c r="I64" s="37">
        <f t="shared" si="9"/>
        <v>-8.4657766912243907E-10</v>
      </c>
      <c r="J64" s="37">
        <f t="shared" si="0"/>
        <v>-9.1007099430662198E-10</v>
      </c>
      <c r="K64" s="37">
        <f>-I64*HeatPump_DCF!$B$8</f>
        <v>6.3493325184182923E-11</v>
      </c>
      <c r="L64" s="40">
        <f>-(K64*HeatPump_DCF!$B$10)</f>
        <v>0</v>
      </c>
      <c r="M64" s="37">
        <f>-HeatPump_DCF!$B$15*HeatPump_DCF!$B$24*E64*(1+HeatPump_DCF!$B$16)^A64</f>
        <v>-32269.829772817604</v>
      </c>
      <c r="N64" s="37">
        <f>M64*HeatPump_DCF!$B$10</f>
        <v>0</v>
      </c>
      <c r="O64" s="37">
        <f>-E64*HeatPump_DCF!$D$23*HeatPump_DCF!$B$14*(1+HeatPump_DCF!$B$16)^A64</f>
        <v>0</v>
      </c>
      <c r="P64" s="37">
        <f>O64*HeatPump_DCF!$B$10</f>
        <v>0</v>
      </c>
      <c r="Q64" s="40">
        <f t="shared" si="5"/>
        <v>-32269.829772817604</v>
      </c>
      <c r="R64" s="37">
        <f>-E64*HeatPump_DCF!$B$22*(1+HeatPump_DCF!$B$18)^(HeatPump_DCF!A64)</f>
        <v>-1293758.6908732958</v>
      </c>
      <c r="S64" s="37">
        <f>-R64*HeatPump_DCF!$B$10</f>
        <v>0</v>
      </c>
      <c r="T64" s="40">
        <f t="shared" si="6"/>
        <v>-1293758.6908732958</v>
      </c>
      <c r="U64" s="40">
        <f t="shared" si="7"/>
        <v>-1326028.5206461134</v>
      </c>
      <c r="V64" s="38">
        <f t="shared" si="1"/>
        <v>-317440.68507943308</v>
      </c>
      <c r="W64" s="40">
        <f>Baseline_DCF!U64</f>
        <v>-2715559.0621839571</v>
      </c>
      <c r="X64" s="40">
        <f t="shared" si="8"/>
        <v>2398118.3771045241</v>
      </c>
      <c r="Y64" s="38">
        <f t="shared" si="2"/>
        <v>574090.4729249042</v>
      </c>
      <c r="Z64" s="40">
        <f t="shared" si="3"/>
        <v>1326028.5206461134</v>
      </c>
    </row>
    <row r="65" spans="1:26" ht="14.4" x14ac:dyDescent="0.3">
      <c r="A65" s="35">
        <f t="shared" si="4"/>
        <v>16</v>
      </c>
      <c r="B65" s="44">
        <f>1/(1+HeatPump_DCF!$B$9)^A65</f>
        <v>0.21762913579014853</v>
      </c>
      <c r="C65" s="36">
        <f>IF(A65&lt;(HeatPump_DCF!$B$7+1),1,0)</f>
        <v>0</v>
      </c>
      <c r="D65" s="36">
        <f>IF(A65&lt;(HeatPump_DCF!$B$11+1),1,0)</f>
        <v>0</v>
      </c>
      <c r="E65" s="36">
        <f>IF(A65&lt;(HeatPump_DCF!$B$12+1),1,0)</f>
        <v>1</v>
      </c>
      <c r="F65" s="37">
        <f xml:space="preserve"> -HeatPump_DCF!$B$33*D65</f>
        <v>0</v>
      </c>
      <c r="G65" s="40">
        <f>-F65*HeatPump_DCF!$B$10</f>
        <v>0</v>
      </c>
      <c r="H65" s="40">
        <f>-HeatPump_DCF!$B$29*C65</f>
        <v>0</v>
      </c>
      <c r="I65" s="37">
        <f>J64</f>
        <v>-9.1007099430662198E-10</v>
      </c>
      <c r="J65" s="37">
        <f t="shared" si="0"/>
        <v>-9.7832631887961862E-10</v>
      </c>
      <c r="K65" s="37">
        <f>-I65*HeatPump_DCF!$B$8</f>
        <v>6.8255324572996651E-11</v>
      </c>
      <c r="L65" s="40">
        <f>-(K65*HeatPump_DCF!$B$10)</f>
        <v>0</v>
      </c>
      <c r="M65" s="37">
        <f>-HeatPump_DCF!$B$15*HeatPump_DCF!$B$24*E65*(1+HeatPump_DCF!$B$16)^A65</f>
        <v>-33076.575517138044</v>
      </c>
      <c r="N65" s="37">
        <f>M65*HeatPump_DCF!$B$10</f>
        <v>0</v>
      </c>
      <c r="O65" s="37">
        <f>-E65*HeatPump_DCF!$D$23*HeatPump_DCF!$B$14*(1+HeatPump_DCF!$B$16)^A65</f>
        <v>0</v>
      </c>
      <c r="P65" s="37">
        <f>O65*HeatPump_DCF!$B$10</f>
        <v>0</v>
      </c>
      <c r="Q65" s="40">
        <f t="shared" si="5"/>
        <v>-33076.575517138044</v>
      </c>
      <c r="R65" s="37">
        <f>-E65*HeatPump_DCF!$B$22*(1+HeatPump_DCF!$B$18)^(HeatPump_DCF!A65)</f>
        <v>-1326102.6581451281</v>
      </c>
      <c r="S65" s="37">
        <f>-R65*HeatPump_DCF!$B$10</f>
        <v>0</v>
      </c>
      <c r="T65" s="40">
        <f t="shared" si="6"/>
        <v>-1326102.6581451281</v>
      </c>
      <c r="U65" s="40">
        <f t="shared" si="7"/>
        <v>-1359179.2336622661</v>
      </c>
      <c r="V65" s="38">
        <f t="shared" si="1"/>
        <v>-295797.0020058353</v>
      </c>
      <c r="W65" s="40">
        <f>Baseline_DCF!U65</f>
        <v>-2783448.0387385557</v>
      </c>
      <c r="X65" s="40">
        <f t="shared" si="8"/>
        <v>2487651.0367327202</v>
      </c>
      <c r="Y65" s="38">
        <f t="shared" si="2"/>
        <v>541385.34527160891</v>
      </c>
      <c r="Z65" s="40">
        <f t="shared" si="3"/>
        <v>1359179.2336622661</v>
      </c>
    </row>
    <row r="66" spans="1:26" ht="14.4" x14ac:dyDescent="0.3">
      <c r="A66" s="35">
        <f t="shared" si="4"/>
        <v>17</v>
      </c>
      <c r="B66" s="44">
        <f>1/(1+HeatPump_DCF!$B$9)^A66</f>
        <v>0.19784466890013502</v>
      </c>
      <c r="C66" s="36">
        <f>IF(A66&lt;(HeatPump_DCF!$B$7+1),1,0)</f>
        <v>0</v>
      </c>
      <c r="D66" s="36">
        <f>IF(A66&lt;(HeatPump_DCF!$B$11+1),1,0)</f>
        <v>0</v>
      </c>
      <c r="E66" s="36">
        <f>IF(A66&lt;(HeatPump_DCF!$B$12+1),1,0)</f>
        <v>1</v>
      </c>
      <c r="F66" s="37">
        <f xml:space="preserve"> -HeatPump_DCF!$B$33*D66</f>
        <v>0</v>
      </c>
      <c r="G66" s="40">
        <f>-F66*HeatPump_DCF!$B$10</f>
        <v>0</v>
      </c>
      <c r="H66" s="40">
        <f>-HeatPump_DCF!$B$29*C66</f>
        <v>0</v>
      </c>
      <c r="I66" s="37">
        <f t="shared" ref="I66:I89" si="10">J65</f>
        <v>-9.7832631887961862E-10</v>
      </c>
      <c r="J66" s="37">
        <f t="shared" si="0"/>
        <v>-1.0517007927955901E-9</v>
      </c>
      <c r="K66" s="37">
        <f>-I66*HeatPump_DCF!$B$8</f>
        <v>7.3374473915971399E-11</v>
      </c>
      <c r="L66" s="40">
        <f>-(K66*HeatPump_DCF!$B$10)</f>
        <v>0</v>
      </c>
      <c r="M66" s="37">
        <f>-HeatPump_DCF!$B$15*HeatPump_DCF!$B$24*E66*(1+HeatPump_DCF!$B$16)^A66</f>
        <v>-33903.48990506649</v>
      </c>
      <c r="N66" s="37">
        <f>M66*HeatPump_DCF!$B$10</f>
        <v>0</v>
      </c>
      <c r="O66" s="37">
        <f>-E66*HeatPump_DCF!$D$23*HeatPump_DCF!$B$14*(1+HeatPump_DCF!$B$16)^A66</f>
        <v>0</v>
      </c>
      <c r="P66" s="37">
        <f>O66*HeatPump_DCF!$B$10</f>
        <v>0</v>
      </c>
      <c r="Q66" s="40">
        <f t="shared" si="5"/>
        <v>-33903.48990506649</v>
      </c>
      <c r="R66" s="37">
        <f>-E66*HeatPump_DCF!$B$22*(1+HeatPump_DCF!$B$18)^(HeatPump_DCF!A66)</f>
        <v>-1359255.2245987561</v>
      </c>
      <c r="S66" s="37">
        <f>-R66*HeatPump_DCF!$B$10</f>
        <v>0</v>
      </c>
      <c r="T66" s="40">
        <f t="shared" si="6"/>
        <v>-1359255.2245987561</v>
      </c>
      <c r="U66" s="40">
        <f t="shared" si="7"/>
        <v>-1393158.7145038226</v>
      </c>
      <c r="V66" s="38">
        <f t="shared" si="1"/>
        <v>-275629.02459634654</v>
      </c>
      <c r="W66" s="40">
        <f>Baseline_DCF!U66</f>
        <v>-2853034.2397070192</v>
      </c>
      <c r="X66" s="40">
        <f t="shared" si="8"/>
        <v>2577405.2151106726</v>
      </c>
      <c r="Y66" s="38">
        <f t="shared" si="2"/>
        <v>509925.88140505232</v>
      </c>
      <c r="Z66" s="40">
        <f t="shared" si="3"/>
        <v>1393158.7145038226</v>
      </c>
    </row>
    <row r="67" spans="1:26" ht="14.4" x14ac:dyDescent="0.3">
      <c r="A67" s="35">
        <f t="shared" si="4"/>
        <v>18</v>
      </c>
      <c r="B67" s="44">
        <f>1/(1+HeatPump_DCF!$B$9)^A67</f>
        <v>0.17985878990921364</v>
      </c>
      <c r="C67" s="36">
        <f>IF(A67&lt;(HeatPump_DCF!$B$7+1),1,0)</f>
        <v>0</v>
      </c>
      <c r="D67" s="36">
        <f>IF(A67&lt;(HeatPump_DCF!$B$11+1),1,0)</f>
        <v>0</v>
      </c>
      <c r="E67" s="36">
        <f>IF(A67&lt;(HeatPump_DCF!$B$12+1),1,0)</f>
        <v>1</v>
      </c>
      <c r="F67" s="37">
        <f xml:space="preserve"> -HeatPump_DCF!$B$33*D67</f>
        <v>0</v>
      </c>
      <c r="G67" s="40">
        <f>-F67*HeatPump_DCF!$B$10</f>
        <v>0</v>
      </c>
      <c r="H67" s="40">
        <f>-HeatPump_DCF!$B$29*C67</f>
        <v>0</v>
      </c>
      <c r="I67" s="37">
        <f t="shared" si="10"/>
        <v>-1.0517007927955901E-9</v>
      </c>
      <c r="J67" s="37">
        <f t="shared" si="0"/>
        <v>-1.1305783522552593E-9</v>
      </c>
      <c r="K67" s="37">
        <f>-I67*HeatPump_DCF!$B$8</f>
        <v>7.8877559459669252E-11</v>
      </c>
      <c r="L67" s="40">
        <f>-(K67*HeatPump_DCF!$B$10)</f>
        <v>0</v>
      </c>
      <c r="M67" s="37">
        <f>-HeatPump_DCF!$B$15*HeatPump_DCF!$B$24*E67*(1+HeatPump_DCF!$B$16)^A67</f>
        <v>-34751.077152693149</v>
      </c>
      <c r="N67" s="37">
        <f>M67*HeatPump_DCF!$B$10</f>
        <v>0</v>
      </c>
      <c r="O67" s="37">
        <f>-E67*HeatPump_DCF!$D$23*HeatPump_DCF!$B$14*(1+HeatPump_DCF!$B$16)^A67</f>
        <v>0</v>
      </c>
      <c r="P67" s="37">
        <f>O67*HeatPump_DCF!$B$10</f>
        <v>0</v>
      </c>
      <c r="Q67" s="40">
        <f t="shared" si="5"/>
        <v>-34751.077152693149</v>
      </c>
      <c r="R67" s="37">
        <f>-E67*HeatPump_DCF!$B$22*(1+HeatPump_DCF!$B$18)^(HeatPump_DCF!A67)</f>
        <v>-1393236.605213725</v>
      </c>
      <c r="S67" s="37">
        <f>-R67*HeatPump_DCF!$B$10</f>
        <v>0</v>
      </c>
      <c r="T67" s="40">
        <f t="shared" si="6"/>
        <v>-1393236.605213725</v>
      </c>
      <c r="U67" s="40">
        <f t="shared" si="7"/>
        <v>-1427987.6823664182</v>
      </c>
      <c r="V67" s="38">
        <f t="shared" si="1"/>
        <v>-256836.13655568651</v>
      </c>
      <c r="W67" s="40">
        <f>Baseline_DCF!U67</f>
        <v>-2924360.0956996949</v>
      </c>
      <c r="X67" s="40">
        <f t="shared" si="8"/>
        <v>2667523.9591440083</v>
      </c>
      <c r="Y67" s="38">
        <f t="shared" si="2"/>
        <v>479777.63134547597</v>
      </c>
      <c r="Z67" s="40">
        <f t="shared" si="3"/>
        <v>1427987.6823664182</v>
      </c>
    </row>
    <row r="68" spans="1:26" ht="14.4" x14ac:dyDescent="0.3">
      <c r="A68" s="35">
        <f t="shared" si="4"/>
        <v>19</v>
      </c>
      <c r="B68" s="44">
        <f>1/(1+HeatPump_DCF!$B$9)^A68</f>
        <v>0.16350799082655781</v>
      </c>
      <c r="C68" s="36">
        <f>IF(A68&lt;(HeatPump_DCF!$B$7+1),1,0)</f>
        <v>0</v>
      </c>
      <c r="D68" s="36">
        <f>IF(A68&lt;(HeatPump_DCF!$B$11+1),1,0)</f>
        <v>0</v>
      </c>
      <c r="E68" s="36">
        <f>IF(A68&lt;(HeatPump_DCF!$B$12+1),1,0)</f>
        <v>1</v>
      </c>
      <c r="F68" s="37">
        <f xml:space="preserve"> -HeatPump_DCF!$B$33*D68</f>
        <v>0</v>
      </c>
      <c r="G68" s="40">
        <f>-F68*HeatPump_DCF!$B$10</f>
        <v>0</v>
      </c>
      <c r="H68" s="40">
        <f>-HeatPump_DCF!$B$29*C68</f>
        <v>0</v>
      </c>
      <c r="I68" s="37">
        <f t="shared" si="10"/>
        <v>-1.1305783522552593E-9</v>
      </c>
      <c r="J68" s="37">
        <f t="shared" si="0"/>
        <v>-1.2153717286744037E-9</v>
      </c>
      <c r="K68" s="37">
        <f>-I68*HeatPump_DCF!$B$8</f>
        <v>8.4793376419144445E-11</v>
      </c>
      <c r="L68" s="40">
        <f>-(K68*HeatPump_DCF!$B$10)</f>
        <v>0</v>
      </c>
      <c r="M68" s="37">
        <f>-HeatPump_DCF!$B$15*HeatPump_DCF!$B$24*E68*(1+HeatPump_DCF!$B$16)^A68</f>
        <v>-35619.854081510479</v>
      </c>
      <c r="N68" s="37">
        <f>M68*HeatPump_DCF!$B$10</f>
        <v>0</v>
      </c>
      <c r="O68" s="37">
        <f>-E68*HeatPump_DCF!$D$23*HeatPump_DCF!$B$14*(1+HeatPump_DCF!$B$16)^A68</f>
        <v>0</v>
      </c>
      <c r="P68" s="37">
        <f>O68*HeatPump_DCF!$B$10</f>
        <v>0</v>
      </c>
      <c r="Q68" s="40">
        <f t="shared" si="5"/>
        <v>-35619.854081510479</v>
      </c>
      <c r="R68" s="37">
        <f>-E68*HeatPump_DCF!$B$22*(1+HeatPump_DCF!$B$18)^(HeatPump_DCF!A68)</f>
        <v>-1428067.5203440681</v>
      </c>
      <c r="S68" s="37">
        <f>-R68*HeatPump_DCF!$B$10</f>
        <v>0</v>
      </c>
      <c r="T68" s="40">
        <f t="shared" si="6"/>
        <v>-1428067.5203440681</v>
      </c>
      <c r="U68" s="40">
        <f t="shared" si="7"/>
        <v>-1463687.3744255786</v>
      </c>
      <c r="V68" s="38">
        <f t="shared" si="1"/>
        <v>-239324.58179052599</v>
      </c>
      <c r="W68" s="40">
        <f>Baseline_DCF!U68</f>
        <v>-2997469.0980921872</v>
      </c>
      <c r="X68" s="40">
        <f t="shared" si="8"/>
        <v>2758144.5163016613</v>
      </c>
      <c r="Y68" s="38">
        <f t="shared" si="2"/>
        <v>450978.66826977278</v>
      </c>
      <c r="Z68" s="40">
        <f t="shared" si="3"/>
        <v>1463687.3744255786</v>
      </c>
    </row>
    <row r="69" spans="1:26" ht="14.4" x14ac:dyDescent="0.3">
      <c r="A69" s="35">
        <f t="shared" si="4"/>
        <v>20</v>
      </c>
      <c r="B69" s="44">
        <f>1/(1+HeatPump_DCF!$B$9)^A69</f>
        <v>0.14864362802414349</v>
      </c>
      <c r="C69" s="36">
        <f>IF(A69&lt;(HeatPump_DCF!$B$7+1),1,0)</f>
        <v>0</v>
      </c>
      <c r="D69" s="36">
        <f>IF(A69&lt;(HeatPump_DCF!$B$11+1),1,0)</f>
        <v>0</v>
      </c>
      <c r="E69" s="36">
        <f>IF(A69&lt;(HeatPump_DCF!$B$12+1),1,0)</f>
        <v>1</v>
      </c>
      <c r="F69" s="37">
        <f xml:space="preserve"> -HeatPump_DCF!$B$33*D69</f>
        <v>0</v>
      </c>
      <c r="G69" s="40">
        <f>-F69*HeatPump_DCF!$B$10</f>
        <v>0</v>
      </c>
      <c r="H69" s="40">
        <f>-HeatPump_DCF!$B$29*C69</f>
        <v>0</v>
      </c>
      <c r="I69" s="37">
        <f t="shared" si="10"/>
        <v>-1.2153717286744037E-9</v>
      </c>
      <c r="J69" s="37">
        <f t="shared" si="0"/>
        <v>-1.3065246083249841E-9</v>
      </c>
      <c r="K69" s="37">
        <f>-I69*HeatPump_DCF!$B$8</f>
        <v>9.1152879650580283E-11</v>
      </c>
      <c r="L69" s="40">
        <f>-(K69*HeatPump_DCF!$B$10)</f>
        <v>0</v>
      </c>
      <c r="M69" s="37">
        <f>-HeatPump_DCF!$B$15*HeatPump_DCF!$B$24*E69*(1+HeatPump_DCF!$B$16)^A69</f>
        <v>-36510.350433548236</v>
      </c>
      <c r="N69" s="37">
        <f>M69*HeatPump_DCF!$B$10</f>
        <v>0</v>
      </c>
      <c r="O69" s="37">
        <f>-E69*HeatPump_DCF!$D$23*HeatPump_DCF!$B$14*(1+HeatPump_DCF!$B$16)^A69</f>
        <v>0</v>
      </c>
      <c r="P69" s="37">
        <f>O69*HeatPump_DCF!$B$10</f>
        <v>0</v>
      </c>
      <c r="Q69" s="40">
        <f t="shared" si="5"/>
        <v>-36510.350433548236</v>
      </c>
      <c r="R69" s="37">
        <f>-E69*HeatPump_DCF!$B$22*(1+HeatPump_DCF!$B$18)^(HeatPump_DCF!A69)</f>
        <v>-1463769.2083526696</v>
      </c>
      <c r="S69" s="37">
        <f>-R69*HeatPump_DCF!$B$10</f>
        <v>0</v>
      </c>
      <c r="T69" s="40">
        <f t="shared" si="6"/>
        <v>-1463769.2083526696</v>
      </c>
      <c r="U69" s="40">
        <f>G69+H69+L69+Q69+T69+IF(AND(E69=1,E70=0),$B$25,0)</f>
        <v>-1444576.5438282483</v>
      </c>
      <c r="V69" s="38">
        <f t="shared" si="1"/>
        <v>-214727.09843320894</v>
      </c>
      <c r="W69" s="40">
        <f>Baseline_DCF!U69</f>
        <v>-3072405.8255444919</v>
      </c>
      <c r="X69" s="40">
        <f t="shared" si="8"/>
        <v>2857678.7271112828</v>
      </c>
      <c r="Y69" s="38">
        <f t="shared" si="2"/>
        <v>424775.73372523737</v>
      </c>
      <c r="Z69" s="40">
        <f t="shared" si="3"/>
        <v>1444576.5438282483</v>
      </c>
    </row>
    <row r="70" spans="1:26" ht="14.4" x14ac:dyDescent="0.3">
      <c r="A70" s="35">
        <f t="shared" si="4"/>
        <v>21</v>
      </c>
      <c r="B70" s="44">
        <f>1/(1+HeatPump_DCF!$B$9)^A70</f>
        <v>0.13513057093103953</v>
      </c>
      <c r="C70" s="36">
        <f>IF(A70&lt;(HeatPump_DCF!$B$7+1),1,0)</f>
        <v>0</v>
      </c>
      <c r="D70" s="36">
        <f>IF(A70&lt;(HeatPump_DCF!$B$11+1),1,0)</f>
        <v>0</v>
      </c>
      <c r="E70" s="36">
        <f>IF(A70&lt;(HeatPump_DCF!$B$12+1),1,0)</f>
        <v>0</v>
      </c>
      <c r="F70" s="37">
        <f xml:space="preserve"> -HeatPump_DCF!$B$33*D70</f>
        <v>0</v>
      </c>
      <c r="G70" s="40">
        <f>-F70*HeatPump_DCF!$B$10</f>
        <v>0</v>
      </c>
      <c r="H70" s="40">
        <f>-HeatPump_DCF!$B$29*C70</f>
        <v>0</v>
      </c>
      <c r="I70" s="37">
        <f t="shared" si="10"/>
        <v>-1.3065246083249841E-9</v>
      </c>
      <c r="J70" s="37">
        <f t="shared" si="0"/>
        <v>-1.4045139539493579E-9</v>
      </c>
      <c r="K70" s="37">
        <f>-I70*HeatPump_DCF!$B$8</f>
        <v>9.7989345624373807E-11</v>
      </c>
      <c r="L70" s="40">
        <f>-(K70*HeatPump_DCF!$B$10)</f>
        <v>0</v>
      </c>
      <c r="M70" s="37">
        <f>-HeatPump_DCF!$B$15*HeatPump_DCF!$B$24*E70*(1+HeatPump_DCF!$B$16)^A70</f>
        <v>0</v>
      </c>
      <c r="N70" s="37">
        <f>M70*HeatPump_DCF!$B$10</f>
        <v>0</v>
      </c>
      <c r="O70" s="37">
        <f>-E70*HeatPump_DCF!$D$23*HeatPump_DCF!$B$14*(1+HeatPump_DCF!$B$16)^A70</f>
        <v>0</v>
      </c>
      <c r="P70" s="37">
        <f>O70*HeatPump_DCF!$B$10</f>
        <v>0</v>
      </c>
      <c r="Q70" s="40">
        <f t="shared" si="5"/>
        <v>0</v>
      </c>
      <c r="R70" s="37">
        <f>-E70*HeatPump_DCF!$B$22*(1+HeatPump_DCF!$B$18)^(HeatPump_DCF!A70)</f>
        <v>0</v>
      </c>
      <c r="S70" s="37">
        <f>-R70*HeatPump_DCF!$B$10</f>
        <v>0</v>
      </c>
      <c r="T70" s="40">
        <f t="shared" si="6"/>
        <v>0</v>
      </c>
      <c r="U70" s="40">
        <f t="shared" si="7"/>
        <v>0</v>
      </c>
      <c r="V70" s="38">
        <f t="shared" si="1"/>
        <v>0</v>
      </c>
      <c r="W70" s="40">
        <f>Baseline_DCF!U70</f>
        <v>0</v>
      </c>
      <c r="X70" s="40">
        <f t="shared" si="8"/>
        <v>0</v>
      </c>
      <c r="Y70" s="38">
        <f t="shared" si="2"/>
        <v>0</v>
      </c>
      <c r="Z70" s="40">
        <f t="shared" si="3"/>
        <v>0</v>
      </c>
    </row>
    <row r="71" spans="1:26" ht="14.4" x14ac:dyDescent="0.3">
      <c r="A71" s="35">
        <f t="shared" si="4"/>
        <v>22</v>
      </c>
      <c r="B71" s="44">
        <f>1/(1+HeatPump_DCF!$B$9)^A71</f>
        <v>0.12284597357367227</v>
      </c>
      <c r="C71" s="36">
        <f>IF(A71&lt;(HeatPump_DCF!$B$7+1),1,0)</f>
        <v>0</v>
      </c>
      <c r="D71" s="36">
        <f>IF(A71&lt;(HeatPump_DCF!$B$11+1),1,0)</f>
        <v>0</v>
      </c>
      <c r="E71" s="36">
        <f>IF(A71&lt;(HeatPump_DCF!$B$12+1),1,0)</f>
        <v>0</v>
      </c>
      <c r="F71" s="37">
        <f xml:space="preserve"> -HeatPump_DCF!$B$33*D71</f>
        <v>0</v>
      </c>
      <c r="G71" s="40">
        <f>-F71*HeatPump_DCF!$B$10</f>
        <v>0</v>
      </c>
      <c r="H71" s="40">
        <f>-HeatPump_DCF!$B$29*C71</f>
        <v>0</v>
      </c>
      <c r="I71" s="37">
        <f t="shared" si="10"/>
        <v>-1.4045139539493579E-9</v>
      </c>
      <c r="J71" s="37">
        <f t="shared" si="0"/>
        <v>-1.5098525004955596E-9</v>
      </c>
      <c r="K71" s="37">
        <f>-I71*HeatPump_DCF!$B$8</f>
        <v>1.0533854654620183E-10</v>
      </c>
      <c r="L71" s="40">
        <f>-(K71*HeatPump_DCF!$B$10)</f>
        <v>0</v>
      </c>
      <c r="M71" s="37">
        <f>-HeatPump_DCF!$B$15*HeatPump_DCF!$B$24*E71*(1+HeatPump_DCF!$B$16)^A71</f>
        <v>0</v>
      </c>
      <c r="N71" s="37">
        <f>M71*HeatPump_DCF!$B$10</f>
        <v>0</v>
      </c>
      <c r="O71" s="37">
        <f>-E71*HeatPump_DCF!$D$23*HeatPump_DCF!$B$14*(1+HeatPump_DCF!$B$16)^A71</f>
        <v>0</v>
      </c>
      <c r="P71" s="37">
        <f>O71*HeatPump_DCF!$B$10</f>
        <v>0</v>
      </c>
      <c r="Q71" s="40">
        <f t="shared" si="5"/>
        <v>0</v>
      </c>
      <c r="R71" s="37">
        <f>-E71*HeatPump_DCF!$B$22*(1+HeatPump_DCF!$B$18)^(HeatPump_DCF!A71)</f>
        <v>0</v>
      </c>
      <c r="S71" s="37">
        <f>-R71*HeatPump_DCF!$B$10</f>
        <v>0</v>
      </c>
      <c r="T71" s="40">
        <f t="shared" si="6"/>
        <v>0</v>
      </c>
      <c r="U71" s="40">
        <f t="shared" si="7"/>
        <v>0</v>
      </c>
      <c r="V71" s="38">
        <f t="shared" si="1"/>
        <v>0</v>
      </c>
      <c r="W71" s="40">
        <f>Baseline_DCF!U71</f>
        <v>0</v>
      </c>
      <c r="X71" s="40">
        <f t="shared" si="8"/>
        <v>0</v>
      </c>
      <c r="Y71" s="38">
        <f t="shared" si="2"/>
        <v>0</v>
      </c>
      <c r="Z71" s="40">
        <f t="shared" si="3"/>
        <v>0</v>
      </c>
    </row>
    <row r="72" spans="1:26" ht="14.4" x14ac:dyDescent="0.3">
      <c r="A72" s="35">
        <f t="shared" si="4"/>
        <v>23</v>
      </c>
      <c r="B72" s="44">
        <f>1/(1+HeatPump_DCF!$B$9)^A72</f>
        <v>0.11167815779424752</v>
      </c>
      <c r="C72" s="36">
        <f>IF(A72&lt;(HeatPump_DCF!$B$7+1),1,0)</f>
        <v>0</v>
      </c>
      <c r="D72" s="36">
        <f>IF(A72&lt;(HeatPump_DCF!$B$11+1),1,0)</f>
        <v>0</v>
      </c>
      <c r="E72" s="36">
        <f>IF(A72&lt;(HeatPump_DCF!$B$12+1),1,0)</f>
        <v>0</v>
      </c>
      <c r="F72" s="37">
        <f xml:space="preserve"> -HeatPump_DCF!$B$33*D72</f>
        <v>0</v>
      </c>
      <c r="G72" s="40">
        <f>-F72*HeatPump_DCF!$B$10</f>
        <v>0</v>
      </c>
      <c r="H72" s="40">
        <f>-HeatPump_DCF!$B$29*C72</f>
        <v>0</v>
      </c>
      <c r="I72" s="37">
        <f t="shared" si="10"/>
        <v>-1.5098525004955596E-9</v>
      </c>
      <c r="J72" s="37">
        <f t="shared" si="0"/>
        <v>-1.6230914380327265E-9</v>
      </c>
      <c r="K72" s="37">
        <f>-I72*HeatPump_DCF!$B$8</f>
        <v>1.1323893753716697E-10</v>
      </c>
      <c r="L72" s="40">
        <f>-(K72*HeatPump_DCF!$B$10)</f>
        <v>0</v>
      </c>
      <c r="M72" s="37">
        <f>-HeatPump_DCF!$B$15*HeatPump_DCF!$B$24*E72*(1+HeatPump_DCF!$B$16)^A72</f>
        <v>0</v>
      </c>
      <c r="N72" s="37">
        <f>M72*HeatPump_DCF!$B$10</f>
        <v>0</v>
      </c>
      <c r="O72" s="37">
        <f>-E72*HeatPump_DCF!$D$23*HeatPump_DCF!$B$14*(1+HeatPump_DCF!$B$16)^A72</f>
        <v>0</v>
      </c>
      <c r="P72" s="37">
        <f>O72*HeatPump_DCF!$B$10</f>
        <v>0</v>
      </c>
      <c r="Q72" s="40">
        <f t="shared" si="5"/>
        <v>0</v>
      </c>
      <c r="R72" s="37">
        <f>-E72*HeatPump_DCF!$B$22*(1+HeatPump_DCF!$B$18)^(HeatPump_DCF!A72)</f>
        <v>0</v>
      </c>
      <c r="S72" s="37">
        <f>-R72*HeatPump_DCF!$B$10</f>
        <v>0</v>
      </c>
      <c r="T72" s="40">
        <f t="shared" si="6"/>
        <v>0</v>
      </c>
      <c r="U72" s="40">
        <f t="shared" si="7"/>
        <v>0</v>
      </c>
      <c r="V72" s="38">
        <f t="shared" si="1"/>
        <v>0</v>
      </c>
      <c r="W72" s="40">
        <f>Baseline_DCF!U72</f>
        <v>0</v>
      </c>
      <c r="X72" s="40">
        <f t="shared" si="8"/>
        <v>0</v>
      </c>
      <c r="Y72" s="38">
        <f t="shared" si="2"/>
        <v>0</v>
      </c>
      <c r="Z72" s="40">
        <f t="shared" si="3"/>
        <v>0</v>
      </c>
    </row>
    <row r="73" spans="1:26" ht="14.4" x14ac:dyDescent="0.3">
      <c r="A73" s="35">
        <f t="shared" si="4"/>
        <v>24</v>
      </c>
      <c r="B73" s="44">
        <f>1/(1+HeatPump_DCF!$B$9)^A73</f>
        <v>0.10152559799477048</v>
      </c>
      <c r="C73" s="36">
        <f>IF(A73&lt;(HeatPump_DCF!$B$7+1),1,0)</f>
        <v>0</v>
      </c>
      <c r="D73" s="36">
        <f>IF(A73&lt;(HeatPump_DCF!$B$11+1),1,0)</f>
        <v>0</v>
      </c>
      <c r="E73" s="36">
        <f>IF(A73&lt;(HeatPump_DCF!$B$12+1),1,0)</f>
        <v>0</v>
      </c>
      <c r="F73" s="37">
        <f xml:space="preserve"> -HeatPump_DCF!$B$33*D73</f>
        <v>0</v>
      </c>
      <c r="G73" s="40">
        <f>-F73*HeatPump_DCF!$B$10</f>
        <v>0</v>
      </c>
      <c r="H73" s="40">
        <f>-HeatPump_DCF!$B$29*C73</f>
        <v>0</v>
      </c>
      <c r="I73" s="37">
        <f t="shared" si="10"/>
        <v>-1.6230914380327265E-9</v>
      </c>
      <c r="J73" s="37">
        <f t="shared" si="0"/>
        <v>-1.7448232958851809E-9</v>
      </c>
      <c r="K73" s="37">
        <f>-I73*HeatPump_DCF!$B$8</f>
        <v>1.2173185785245448E-10</v>
      </c>
      <c r="L73" s="40">
        <f>-(K73*HeatPump_DCF!$B$10)</f>
        <v>0</v>
      </c>
      <c r="M73" s="37">
        <f>-HeatPump_DCF!$B$15*HeatPump_DCF!$B$24*E73*(1+HeatPump_DCF!$B$16)^A73</f>
        <v>0</v>
      </c>
      <c r="N73" s="37">
        <f>M73*HeatPump_DCF!$B$10</f>
        <v>0</v>
      </c>
      <c r="O73" s="37">
        <f>-E73*HeatPump_DCF!$D$23*HeatPump_DCF!$B$14*(1+HeatPump_DCF!$B$16)^A73</f>
        <v>0</v>
      </c>
      <c r="P73" s="37">
        <f>O73*HeatPump_DCF!$B$10</f>
        <v>0</v>
      </c>
      <c r="Q73" s="40">
        <f t="shared" si="5"/>
        <v>0</v>
      </c>
      <c r="R73" s="37">
        <f>-E73*HeatPump_DCF!$B$22*(1+HeatPump_DCF!$B$18)^(HeatPump_DCF!A73)</f>
        <v>0</v>
      </c>
      <c r="S73" s="37">
        <f>-R73*HeatPump_DCF!$B$10</f>
        <v>0</v>
      </c>
      <c r="T73" s="40">
        <f t="shared" si="6"/>
        <v>0</v>
      </c>
      <c r="U73" s="40">
        <f t="shared" si="7"/>
        <v>0</v>
      </c>
      <c r="V73" s="38">
        <f t="shared" si="1"/>
        <v>0</v>
      </c>
      <c r="W73" s="40">
        <f>Baseline_DCF!U73</f>
        <v>0</v>
      </c>
      <c r="X73" s="40">
        <f t="shared" si="8"/>
        <v>0</v>
      </c>
      <c r="Y73" s="38">
        <f t="shared" si="2"/>
        <v>0</v>
      </c>
      <c r="Z73" s="40">
        <f t="shared" si="3"/>
        <v>0</v>
      </c>
    </row>
    <row r="74" spans="1:26" ht="14.4" x14ac:dyDescent="0.3">
      <c r="A74" s="35">
        <f t="shared" si="4"/>
        <v>25</v>
      </c>
      <c r="B74" s="44">
        <f>1/(1+HeatPump_DCF!$B$9)^A74</f>
        <v>9.2295998177064048E-2</v>
      </c>
      <c r="C74" s="36">
        <f>IF(A74&lt;(HeatPump_DCF!$B$7+1),1,0)</f>
        <v>0</v>
      </c>
      <c r="D74" s="36">
        <f>IF(A74&lt;(HeatPump_DCF!$B$11+1),1,0)</f>
        <v>0</v>
      </c>
      <c r="E74" s="36">
        <f>IF(A74&lt;(HeatPump_DCF!$B$12+1),1,0)</f>
        <v>0</v>
      </c>
      <c r="F74" s="37">
        <f xml:space="preserve"> -HeatPump_DCF!$B$33*D74</f>
        <v>0</v>
      </c>
      <c r="G74" s="40">
        <f>-F74*HeatPump_DCF!$B$10</f>
        <v>0</v>
      </c>
      <c r="H74" s="40">
        <f>-HeatPump_DCF!$B$29*C74</f>
        <v>0</v>
      </c>
      <c r="I74" s="37">
        <f t="shared" si="10"/>
        <v>-1.7448232958851809E-9</v>
      </c>
      <c r="J74" s="37">
        <f t="shared" si="0"/>
        <v>-1.8756850430765697E-9</v>
      </c>
      <c r="K74" s="37">
        <f>-I74*HeatPump_DCF!$B$8</f>
        <v>1.3086174719138856E-10</v>
      </c>
      <c r="L74" s="40">
        <f>-(K74*HeatPump_DCF!$B$10)</f>
        <v>0</v>
      </c>
      <c r="M74" s="37">
        <f>-HeatPump_DCF!$B$15*HeatPump_DCF!$B$24*E74*(1+HeatPump_DCF!$B$16)^A74</f>
        <v>0</v>
      </c>
      <c r="N74" s="37">
        <f>M74*HeatPump_DCF!$B$10</f>
        <v>0</v>
      </c>
      <c r="O74" s="37">
        <f>-E74*HeatPump_DCF!$D$23*HeatPump_DCF!$B$14*(1+HeatPump_DCF!$B$16)^A74</f>
        <v>0</v>
      </c>
      <c r="P74" s="37">
        <f>O74*HeatPump_DCF!$B$10</f>
        <v>0</v>
      </c>
      <c r="Q74" s="40">
        <f t="shared" si="5"/>
        <v>0</v>
      </c>
      <c r="R74" s="37">
        <f>-E74*HeatPump_DCF!$B$22*(1+HeatPump_DCF!$B$18)^(HeatPump_DCF!A74)</f>
        <v>0</v>
      </c>
      <c r="S74" s="37">
        <f>-R74*HeatPump_DCF!$B$10</f>
        <v>0</v>
      </c>
      <c r="T74" s="40">
        <f t="shared" si="6"/>
        <v>0</v>
      </c>
      <c r="U74" s="40">
        <f t="shared" si="7"/>
        <v>0</v>
      </c>
      <c r="V74" s="38">
        <f t="shared" si="1"/>
        <v>0</v>
      </c>
      <c r="W74" s="40">
        <f>Baseline_DCF!U74</f>
        <v>0</v>
      </c>
      <c r="X74" s="40">
        <f t="shared" si="8"/>
        <v>0</v>
      </c>
      <c r="Y74" s="38">
        <f t="shared" si="2"/>
        <v>0</v>
      </c>
      <c r="Z74" s="40">
        <f t="shared" si="3"/>
        <v>0</v>
      </c>
    </row>
    <row r="75" spans="1:26" ht="14.4" x14ac:dyDescent="0.3">
      <c r="A75" s="35">
        <f t="shared" si="4"/>
        <v>26</v>
      </c>
      <c r="B75" s="44">
        <f>1/(1+HeatPump_DCF!$B$9)^A75</f>
        <v>8.3905452888240042E-2</v>
      </c>
      <c r="C75" s="36">
        <f>IF(A75&lt;(HeatPump_DCF!$B$7+1),1,0)</f>
        <v>0</v>
      </c>
      <c r="D75" s="36">
        <f>IF(A75&lt;(HeatPump_DCF!$B$11+1),1,0)</f>
        <v>0</v>
      </c>
      <c r="E75" s="36">
        <f>IF(A75&lt;(HeatPump_DCF!$B$12+1),1,0)</f>
        <v>0</v>
      </c>
      <c r="F75" s="37">
        <f xml:space="preserve"> -HeatPump_DCF!$B$33*D75</f>
        <v>0</v>
      </c>
      <c r="G75" s="40">
        <f>-F75*HeatPump_DCF!$B$10</f>
        <v>0</v>
      </c>
      <c r="H75" s="40">
        <f>-HeatPump_DCF!$B$29*C75</f>
        <v>0</v>
      </c>
      <c r="I75" s="37">
        <f t="shared" si="10"/>
        <v>-1.8756850430765697E-9</v>
      </c>
      <c r="J75" s="37">
        <f t="shared" si="0"/>
        <v>-2.0163614213073122E-9</v>
      </c>
      <c r="K75" s="37">
        <f>-I75*HeatPump_DCF!$B$8</f>
        <v>1.4067637823074272E-10</v>
      </c>
      <c r="L75" s="40">
        <f>-(K75*HeatPump_DCF!$B$10)</f>
        <v>0</v>
      </c>
      <c r="M75" s="37">
        <f>-HeatPump_DCF!$B$15*HeatPump_DCF!$B$24*E75*(1+HeatPump_DCF!$B$16)^A75</f>
        <v>0</v>
      </c>
      <c r="N75" s="37">
        <f>M75*HeatPump_DCF!$B$10</f>
        <v>0</v>
      </c>
      <c r="O75" s="37">
        <f>-E75*HeatPump_DCF!$D$23*HeatPump_DCF!$B$14*(1+HeatPump_DCF!$B$16)^A75</f>
        <v>0</v>
      </c>
      <c r="P75" s="37">
        <f>O75*HeatPump_DCF!$B$10</f>
        <v>0</v>
      </c>
      <c r="Q75" s="40">
        <f t="shared" si="5"/>
        <v>0</v>
      </c>
      <c r="R75" s="37">
        <f>-E75*HeatPump_DCF!$B$22*(1+HeatPump_DCF!$B$18)^(HeatPump_DCF!A75)</f>
        <v>0</v>
      </c>
      <c r="S75" s="37">
        <f>-R75*HeatPump_DCF!$B$10</f>
        <v>0</v>
      </c>
      <c r="T75" s="40">
        <f t="shared" si="6"/>
        <v>0</v>
      </c>
      <c r="U75" s="40">
        <f t="shared" si="7"/>
        <v>0</v>
      </c>
      <c r="V75" s="38">
        <f t="shared" si="1"/>
        <v>0</v>
      </c>
      <c r="W75" s="40">
        <f>Baseline_DCF!U75</f>
        <v>0</v>
      </c>
      <c r="X75" s="40">
        <f t="shared" si="8"/>
        <v>0</v>
      </c>
      <c r="Y75" s="38">
        <f t="shared" si="2"/>
        <v>0</v>
      </c>
      <c r="Z75" s="40">
        <f t="shared" si="3"/>
        <v>0</v>
      </c>
    </row>
    <row r="76" spans="1:26" ht="14.4" x14ac:dyDescent="0.3">
      <c r="A76" s="35">
        <f t="shared" si="4"/>
        <v>27</v>
      </c>
      <c r="B76" s="44">
        <f>1/(1+HeatPump_DCF!$B$9)^A76</f>
        <v>7.6277684443854576E-2</v>
      </c>
      <c r="C76" s="36">
        <f>IF(A76&lt;(HeatPump_DCF!$B$7+1),1,0)</f>
        <v>0</v>
      </c>
      <c r="D76" s="36">
        <f>IF(A76&lt;(HeatPump_DCF!$B$11+1),1,0)</f>
        <v>0</v>
      </c>
      <c r="E76" s="36">
        <f>IF(A76&lt;(HeatPump_DCF!$B$12+1),1,0)</f>
        <v>0</v>
      </c>
      <c r="F76" s="37">
        <f xml:space="preserve"> -HeatPump_DCF!$B$33*D76</f>
        <v>0</v>
      </c>
      <c r="G76" s="40">
        <f>-F76*HeatPump_DCF!$B$10</f>
        <v>0</v>
      </c>
      <c r="H76" s="40">
        <f>-HeatPump_DCF!$B$29*C76</f>
        <v>0</v>
      </c>
      <c r="I76" s="37">
        <f t="shared" si="10"/>
        <v>-2.0163614213073122E-9</v>
      </c>
      <c r="J76" s="37">
        <f t="shared" si="0"/>
        <v>-2.1675885279053605E-9</v>
      </c>
      <c r="K76" s="37">
        <f>-I76*HeatPump_DCF!$B$8</f>
        <v>1.512271065980484E-10</v>
      </c>
      <c r="L76" s="40">
        <f>-(K76*HeatPump_DCF!$B$10)</f>
        <v>0</v>
      </c>
      <c r="M76" s="37">
        <f>-HeatPump_DCF!$B$15*HeatPump_DCF!$B$24*E76*(1+HeatPump_DCF!$B$16)^A76</f>
        <v>0</v>
      </c>
      <c r="N76" s="37">
        <f>M76*HeatPump_DCF!$B$10</f>
        <v>0</v>
      </c>
      <c r="O76" s="37">
        <f>-E76*HeatPump_DCF!$D$23*HeatPump_DCF!$B$14*(1+HeatPump_DCF!$B$16)^A76</f>
        <v>0</v>
      </c>
      <c r="P76" s="37">
        <f>O76*HeatPump_DCF!$B$10</f>
        <v>0</v>
      </c>
      <c r="Q76" s="40">
        <f t="shared" si="5"/>
        <v>0</v>
      </c>
      <c r="R76" s="37">
        <f>-E76*HeatPump_DCF!$B$22*(1+HeatPump_DCF!$B$18)^(HeatPump_DCF!A76)</f>
        <v>0</v>
      </c>
      <c r="S76" s="37">
        <f>-R76*HeatPump_DCF!$B$10</f>
        <v>0</v>
      </c>
      <c r="T76" s="40">
        <f t="shared" si="6"/>
        <v>0</v>
      </c>
      <c r="U76" s="40">
        <f t="shared" si="7"/>
        <v>0</v>
      </c>
      <c r="V76" s="38">
        <f t="shared" si="1"/>
        <v>0</v>
      </c>
      <c r="W76" s="40">
        <f>Baseline_DCF!U76</f>
        <v>0</v>
      </c>
      <c r="X76" s="40">
        <f t="shared" si="8"/>
        <v>0</v>
      </c>
      <c r="Y76" s="38">
        <f t="shared" si="2"/>
        <v>0</v>
      </c>
      <c r="Z76" s="40">
        <f t="shared" si="3"/>
        <v>0</v>
      </c>
    </row>
    <row r="77" spans="1:26" ht="14.4" x14ac:dyDescent="0.3">
      <c r="A77" s="35">
        <f t="shared" si="4"/>
        <v>28</v>
      </c>
      <c r="B77" s="44">
        <f>1/(1+HeatPump_DCF!$B$9)^A77</f>
        <v>6.9343349494413245E-2</v>
      </c>
      <c r="C77" s="36">
        <f>IF(A77&lt;(HeatPump_DCF!$B$7+1),1,0)</f>
        <v>0</v>
      </c>
      <c r="D77" s="36">
        <f>IF(A77&lt;(HeatPump_DCF!$B$11+1),1,0)</f>
        <v>0</v>
      </c>
      <c r="E77" s="36">
        <f>IF(A77&lt;(HeatPump_DCF!$B$12+1),1,0)</f>
        <v>0</v>
      </c>
      <c r="F77" s="37">
        <f xml:space="preserve"> -HeatPump_DCF!$B$33*D77</f>
        <v>0</v>
      </c>
      <c r="G77" s="40">
        <f>-F77*HeatPump_DCF!$B$10</f>
        <v>0</v>
      </c>
      <c r="H77" s="40">
        <f>-HeatPump_DCF!$B$29*C77</f>
        <v>0</v>
      </c>
      <c r="I77" s="37">
        <f t="shared" si="10"/>
        <v>-2.1675885279053605E-9</v>
      </c>
      <c r="J77" s="37">
        <f t="shared" si="0"/>
        <v>-2.3301576674982625E-9</v>
      </c>
      <c r="K77" s="37">
        <f>-I77*HeatPump_DCF!$B$8</f>
        <v>1.6256913959290204E-10</v>
      </c>
      <c r="L77" s="40">
        <f>-(K77*HeatPump_DCF!$B$10)</f>
        <v>0</v>
      </c>
      <c r="M77" s="37">
        <f>-HeatPump_DCF!$B$15*HeatPump_DCF!$B$24*E77*(1+HeatPump_DCF!$B$16)^A77</f>
        <v>0</v>
      </c>
      <c r="N77" s="37">
        <f>M77*HeatPump_DCF!$B$10</f>
        <v>0</v>
      </c>
      <c r="O77" s="37">
        <f>-E77*HeatPump_DCF!$D$23*HeatPump_DCF!$B$14*(1+HeatPump_DCF!$B$16)^A77</f>
        <v>0</v>
      </c>
      <c r="P77" s="37">
        <f>O77*HeatPump_DCF!$B$10</f>
        <v>0</v>
      </c>
      <c r="Q77" s="40">
        <f t="shared" si="5"/>
        <v>0</v>
      </c>
      <c r="R77" s="37">
        <f>-E77*HeatPump_DCF!$B$22*(1+HeatPump_DCF!$B$18)^(HeatPump_DCF!A77)</f>
        <v>0</v>
      </c>
      <c r="S77" s="37">
        <f>-R77*HeatPump_DCF!$B$10</f>
        <v>0</v>
      </c>
      <c r="T77" s="40">
        <f t="shared" si="6"/>
        <v>0</v>
      </c>
      <c r="U77" s="40">
        <f t="shared" si="7"/>
        <v>0</v>
      </c>
      <c r="V77" s="38">
        <f t="shared" si="1"/>
        <v>0</v>
      </c>
      <c r="W77" s="40">
        <f>Baseline_DCF!U77</f>
        <v>0</v>
      </c>
      <c r="X77" s="40">
        <f t="shared" si="8"/>
        <v>0</v>
      </c>
      <c r="Y77" s="38">
        <f t="shared" si="2"/>
        <v>0</v>
      </c>
      <c r="Z77" s="40">
        <f t="shared" si="3"/>
        <v>0</v>
      </c>
    </row>
    <row r="78" spans="1:26" ht="14.4" x14ac:dyDescent="0.3">
      <c r="A78" s="35">
        <f t="shared" si="4"/>
        <v>29</v>
      </c>
      <c r="B78" s="44">
        <f>1/(1+HeatPump_DCF!$B$9)^A78</f>
        <v>6.3039408631284766E-2</v>
      </c>
      <c r="C78" s="36">
        <f>IF(A78&lt;(HeatPump_DCF!$B$7+1),1,0)</f>
        <v>0</v>
      </c>
      <c r="D78" s="36">
        <f>IF(A78&lt;(HeatPump_DCF!$B$11+1),1,0)</f>
        <v>0</v>
      </c>
      <c r="E78" s="36">
        <f>IF(A78&lt;(HeatPump_DCF!$B$12+1),1,0)</f>
        <v>0</v>
      </c>
      <c r="F78" s="37">
        <f xml:space="preserve"> -HeatPump_DCF!$B$33*D78</f>
        <v>0</v>
      </c>
      <c r="G78" s="40">
        <f>-F78*HeatPump_DCF!$B$10</f>
        <v>0</v>
      </c>
      <c r="H78" s="40">
        <f>-HeatPump_DCF!$B$29*C78</f>
        <v>0</v>
      </c>
      <c r="I78" s="37">
        <f t="shared" si="10"/>
        <v>-2.3301576674982625E-9</v>
      </c>
      <c r="J78" s="37">
        <f t="shared" si="0"/>
        <v>-2.504919492560632E-9</v>
      </c>
      <c r="K78" s="37">
        <f>-I78*HeatPump_DCF!$B$8</f>
        <v>1.7476182506236969E-10</v>
      </c>
      <c r="L78" s="40">
        <f>-(K78*HeatPump_DCF!$B$10)</f>
        <v>0</v>
      </c>
      <c r="M78" s="37">
        <f>-HeatPump_DCF!$B$15*HeatPump_DCF!$B$24*E78*(1+HeatPump_DCF!$B$16)^A78</f>
        <v>0</v>
      </c>
      <c r="N78" s="37">
        <f>M78*HeatPump_DCF!$B$10</f>
        <v>0</v>
      </c>
      <c r="O78" s="37">
        <f>-E78*HeatPump_DCF!$D$23*HeatPump_DCF!$B$14*(1+HeatPump_DCF!$B$16)^A78</f>
        <v>0</v>
      </c>
      <c r="P78" s="37">
        <f>O78*HeatPump_DCF!$B$10</f>
        <v>0</v>
      </c>
      <c r="Q78" s="40">
        <f t="shared" si="5"/>
        <v>0</v>
      </c>
      <c r="R78" s="37">
        <f>-E78*HeatPump_DCF!$B$22*(1+HeatPump_DCF!$B$18)^(HeatPump_DCF!A78)</f>
        <v>0</v>
      </c>
      <c r="S78" s="37">
        <f>-R78*HeatPump_DCF!$B$10</f>
        <v>0</v>
      </c>
      <c r="T78" s="40">
        <f t="shared" si="6"/>
        <v>0</v>
      </c>
      <c r="U78" s="40">
        <f t="shared" si="7"/>
        <v>0</v>
      </c>
      <c r="V78" s="38">
        <f t="shared" si="1"/>
        <v>0</v>
      </c>
      <c r="W78" s="40">
        <f>Baseline_DCF!U78</f>
        <v>0</v>
      </c>
      <c r="X78" s="40">
        <f t="shared" si="8"/>
        <v>0</v>
      </c>
      <c r="Y78" s="38">
        <f t="shared" si="2"/>
        <v>0</v>
      </c>
      <c r="Z78" s="40">
        <f t="shared" si="3"/>
        <v>0</v>
      </c>
    </row>
    <row r="79" spans="1:26" ht="14.4" x14ac:dyDescent="0.3">
      <c r="A79" s="35">
        <f t="shared" si="4"/>
        <v>30</v>
      </c>
      <c r="B79" s="44">
        <f>1/(1+HeatPump_DCF!$B$9)^A79</f>
        <v>5.7308553301167964E-2</v>
      </c>
      <c r="C79" s="36">
        <f>IF(A79&lt;(HeatPump_DCF!$B$7+1),1,0)</f>
        <v>0</v>
      </c>
      <c r="D79" s="36">
        <f>IF(A79&lt;(HeatPump_DCF!$B$11+1),1,0)</f>
        <v>0</v>
      </c>
      <c r="E79" s="36">
        <f>IF(A79&lt;(HeatPump_DCF!$B$12+1),1,0)</f>
        <v>0</v>
      </c>
      <c r="F79" s="37">
        <f xml:space="preserve"> -HeatPump_DCF!$B$33*D79</f>
        <v>0</v>
      </c>
      <c r="G79" s="40">
        <f>-F79*HeatPump_DCF!$B$10</f>
        <v>0</v>
      </c>
      <c r="H79" s="40">
        <f>-HeatPump_DCF!$B$29*C79</f>
        <v>0</v>
      </c>
      <c r="I79" s="37">
        <f t="shared" si="10"/>
        <v>-2.504919492560632E-9</v>
      </c>
      <c r="J79" s="37">
        <f t="shared" si="0"/>
        <v>-2.6927884545026792E-9</v>
      </c>
      <c r="K79" s="37">
        <f>-I79*HeatPump_DCF!$B$8</f>
        <v>1.8786896194204739E-10</v>
      </c>
      <c r="L79" s="40">
        <f>-(K79*HeatPump_DCF!$B$10)</f>
        <v>0</v>
      </c>
      <c r="M79" s="37">
        <f>-HeatPump_DCF!$B$15*HeatPump_DCF!$B$24*E79*(1+HeatPump_DCF!$B$16)^A79</f>
        <v>0</v>
      </c>
      <c r="N79" s="37">
        <f>M79*HeatPump_DCF!$B$10</f>
        <v>0</v>
      </c>
      <c r="O79" s="37">
        <f>-E79*HeatPump_DCF!$D$23*HeatPump_DCF!$B$14*(1+HeatPump_DCF!$B$16)^A79</f>
        <v>0</v>
      </c>
      <c r="P79" s="37">
        <f>O79*HeatPump_DCF!$B$10</f>
        <v>0</v>
      </c>
      <c r="Q79" s="40">
        <f t="shared" si="5"/>
        <v>0</v>
      </c>
      <c r="R79" s="37">
        <f>-E79*HeatPump_DCF!$B$22*(1+HeatPump_DCF!$B$18)^(HeatPump_DCF!A79)</f>
        <v>0</v>
      </c>
      <c r="S79" s="37">
        <f>-R79*HeatPump_DCF!$B$10</f>
        <v>0</v>
      </c>
      <c r="T79" s="40">
        <f t="shared" si="6"/>
        <v>0</v>
      </c>
      <c r="U79" s="40">
        <f t="shared" si="7"/>
        <v>0</v>
      </c>
      <c r="V79" s="38">
        <f t="shared" si="1"/>
        <v>0</v>
      </c>
      <c r="W79" s="40">
        <f>Baseline_DCF!U79</f>
        <v>0</v>
      </c>
      <c r="X79" s="40">
        <f t="shared" si="8"/>
        <v>0</v>
      </c>
      <c r="Y79" s="38">
        <f t="shared" si="2"/>
        <v>0</v>
      </c>
      <c r="Z79" s="40">
        <f t="shared" si="3"/>
        <v>0</v>
      </c>
    </row>
    <row r="80" spans="1:26" ht="14.4" x14ac:dyDescent="0.3">
      <c r="A80" s="35">
        <f t="shared" si="4"/>
        <v>31</v>
      </c>
      <c r="B80" s="44">
        <f>1/(1+HeatPump_DCF!$B$9)^A80</f>
        <v>5.2098684819243603E-2</v>
      </c>
      <c r="C80" s="36">
        <f>IF(A80&lt;(HeatPump_DCF!$B$7+1),1,0)</f>
        <v>0</v>
      </c>
      <c r="D80" s="36">
        <f>IF(A80&lt;(HeatPump_DCF!$B$11+1),1,0)</f>
        <v>0</v>
      </c>
      <c r="E80" s="36">
        <f>IF(A80&lt;(HeatPump_DCF!$B$12+1),1,0)</f>
        <v>0</v>
      </c>
      <c r="F80" s="37">
        <f xml:space="preserve"> -HeatPump_DCF!$B$33*D80</f>
        <v>0</v>
      </c>
      <c r="G80" s="40">
        <f>-F80*HeatPump_DCF!$B$10</f>
        <v>0</v>
      </c>
      <c r="H80" s="40">
        <f>-HeatPump_DCF!$B$29*C80</f>
        <v>0</v>
      </c>
      <c r="I80" s="37">
        <f t="shared" si="10"/>
        <v>-2.6927884545026792E-9</v>
      </c>
      <c r="J80" s="37">
        <f t="shared" si="0"/>
        <v>-2.89474758859038E-9</v>
      </c>
      <c r="K80" s="37">
        <f>-I80*HeatPump_DCF!$B$8</f>
        <v>2.0195913408770094E-10</v>
      </c>
      <c r="L80" s="40">
        <f>-(K80*HeatPump_DCF!$B$10)</f>
        <v>0</v>
      </c>
      <c r="M80" s="37">
        <f>-HeatPump_DCF!$B$15*HeatPump_DCF!$B$24*E80*(1+HeatPump_DCF!$B$16)^A80</f>
        <v>0</v>
      </c>
      <c r="N80" s="37">
        <f>M80*HeatPump_DCF!$B$10</f>
        <v>0</v>
      </c>
      <c r="O80" s="37">
        <f>-E80*HeatPump_DCF!$D$23*HeatPump_DCF!$B$14*(1+HeatPump_DCF!$B$16)^A80</f>
        <v>0</v>
      </c>
      <c r="P80" s="37">
        <f>O80*HeatPump_DCF!$B$10</f>
        <v>0</v>
      </c>
      <c r="Q80" s="40">
        <f t="shared" si="5"/>
        <v>0</v>
      </c>
      <c r="R80" s="37">
        <f>-E80*HeatPump_DCF!$B$22*(1+HeatPump_DCF!$B$18)^(HeatPump_DCF!A80)</f>
        <v>0</v>
      </c>
      <c r="S80" s="37">
        <f>-R80*HeatPump_DCF!$B$10</f>
        <v>0</v>
      </c>
      <c r="T80" s="40">
        <f t="shared" si="6"/>
        <v>0</v>
      </c>
      <c r="U80" s="40">
        <f t="shared" si="7"/>
        <v>0</v>
      </c>
      <c r="V80" s="38">
        <f t="shared" si="1"/>
        <v>0</v>
      </c>
      <c r="W80" s="40">
        <f>Baseline_DCF!U80</f>
        <v>0</v>
      </c>
      <c r="X80" s="40">
        <f t="shared" si="8"/>
        <v>0</v>
      </c>
      <c r="Y80" s="38">
        <f t="shared" si="2"/>
        <v>0</v>
      </c>
      <c r="Z80" s="40">
        <f t="shared" si="3"/>
        <v>0</v>
      </c>
    </row>
    <row r="81" spans="1:26" ht="14.4" x14ac:dyDescent="0.3">
      <c r="A81" s="35">
        <f t="shared" si="4"/>
        <v>32</v>
      </c>
      <c r="B81" s="44">
        <f>1/(1+HeatPump_DCF!$B$9)^A81</f>
        <v>4.7362440744766907E-2</v>
      </c>
      <c r="C81" s="36">
        <f>IF(A81&lt;(HeatPump_DCF!$B$7+1),1,0)</f>
        <v>0</v>
      </c>
      <c r="D81" s="36">
        <f>IF(A81&lt;(HeatPump_DCF!$B$11+1),1,0)</f>
        <v>0</v>
      </c>
      <c r="E81" s="36">
        <f>IF(A81&lt;(HeatPump_DCF!$B$12+1),1,0)</f>
        <v>0</v>
      </c>
      <c r="F81" s="37">
        <f xml:space="preserve"> -HeatPump_DCF!$B$33*D81</f>
        <v>0</v>
      </c>
      <c r="G81" s="40">
        <f>-F81*HeatPump_DCF!$B$10</f>
        <v>0</v>
      </c>
      <c r="H81" s="40">
        <f>-HeatPump_DCF!$B$29*C81</f>
        <v>0</v>
      </c>
      <c r="I81" s="37">
        <f t="shared" si="10"/>
        <v>-2.89474758859038E-9</v>
      </c>
      <c r="J81" s="37">
        <f t="shared" si="0"/>
        <v>-3.1118536577346583E-9</v>
      </c>
      <c r="K81" s="37">
        <f>-I81*HeatPump_DCF!$B$8</f>
        <v>2.1710606914427848E-10</v>
      </c>
      <c r="L81" s="40">
        <f>-(K81*HeatPump_DCF!$B$10)</f>
        <v>0</v>
      </c>
      <c r="M81" s="37">
        <f>-HeatPump_DCF!$B$15*HeatPump_DCF!$B$24*E81*(1+HeatPump_DCF!$B$16)^A81</f>
        <v>0</v>
      </c>
      <c r="N81" s="37">
        <f>M81*HeatPump_DCF!$B$10</f>
        <v>0</v>
      </c>
      <c r="O81" s="37">
        <f>-E81*HeatPump_DCF!$D$23*HeatPump_DCF!$B$14*(1+HeatPump_DCF!$B$16)^A81</f>
        <v>0</v>
      </c>
      <c r="P81" s="37">
        <f>O81*HeatPump_DCF!$B$10</f>
        <v>0</v>
      </c>
      <c r="Q81" s="40">
        <f t="shared" si="5"/>
        <v>0</v>
      </c>
      <c r="R81" s="37">
        <f>-E81*HeatPump_DCF!$B$22*(1+HeatPump_DCF!$B$18)^(HeatPump_DCF!A81)</f>
        <v>0</v>
      </c>
      <c r="S81" s="37">
        <f>-R81*HeatPump_DCF!$B$10</f>
        <v>0</v>
      </c>
      <c r="T81" s="40">
        <f t="shared" si="6"/>
        <v>0</v>
      </c>
      <c r="U81" s="40">
        <f t="shared" si="7"/>
        <v>0</v>
      </c>
      <c r="V81" s="38">
        <f t="shared" si="1"/>
        <v>0</v>
      </c>
      <c r="W81" s="40">
        <f>Baseline_DCF!U81</f>
        <v>0</v>
      </c>
      <c r="X81" s="40">
        <f t="shared" si="8"/>
        <v>0</v>
      </c>
      <c r="Y81" s="38">
        <f t="shared" si="2"/>
        <v>0</v>
      </c>
      <c r="Z81" s="40">
        <f t="shared" si="3"/>
        <v>0</v>
      </c>
    </row>
    <row r="82" spans="1:26" ht="14.4" x14ac:dyDescent="0.3">
      <c r="A82" s="35">
        <f t="shared" si="4"/>
        <v>33</v>
      </c>
      <c r="B82" s="44">
        <f>1/(1+HeatPump_DCF!$B$9)^A82</f>
        <v>4.3056764313424457E-2</v>
      </c>
      <c r="C82" s="36">
        <f>IF(A82&lt;(HeatPump_DCF!$B$7+1),1,0)</f>
        <v>0</v>
      </c>
      <c r="D82" s="36">
        <f>IF(A82&lt;(HeatPump_DCF!$B$11+1),1,0)</f>
        <v>0</v>
      </c>
      <c r="E82" s="36">
        <f>IF(A82&lt;(HeatPump_DCF!$B$12+1),1,0)</f>
        <v>0</v>
      </c>
      <c r="F82" s="37">
        <f xml:space="preserve"> -HeatPump_DCF!$B$33*D82</f>
        <v>0</v>
      </c>
      <c r="G82" s="40">
        <f>-F82*HeatPump_DCF!$B$10</f>
        <v>0</v>
      </c>
      <c r="H82" s="40">
        <f>-HeatPump_DCF!$B$29*C82</f>
        <v>0</v>
      </c>
      <c r="I82" s="37">
        <f t="shared" si="10"/>
        <v>-3.1118536577346583E-9</v>
      </c>
      <c r="J82" s="37">
        <f t="shared" si="0"/>
        <v>-3.3452426820647576E-9</v>
      </c>
      <c r="K82" s="37">
        <f>-I82*HeatPump_DCF!$B$8</f>
        <v>2.3338902433009936E-10</v>
      </c>
      <c r="L82" s="40">
        <f>-(K82*HeatPump_DCF!$B$10)</f>
        <v>0</v>
      </c>
      <c r="M82" s="37">
        <f>-HeatPump_DCF!$B$15*HeatPump_DCF!$B$24*E82*(1+HeatPump_DCF!$B$16)^A82</f>
        <v>0</v>
      </c>
      <c r="N82" s="37">
        <f>M82*HeatPump_DCF!$B$10</f>
        <v>0</v>
      </c>
      <c r="O82" s="37">
        <f>-E82*HeatPump_DCF!$D$23*HeatPump_DCF!$B$14*(1+HeatPump_DCF!$B$16)^A82</f>
        <v>0</v>
      </c>
      <c r="P82" s="37">
        <f>O82*HeatPump_DCF!$B$10</f>
        <v>0</v>
      </c>
      <c r="Q82" s="40">
        <f t="shared" si="5"/>
        <v>0</v>
      </c>
      <c r="R82" s="37">
        <f>-E82*HeatPump_DCF!$B$22*(1+HeatPump_DCF!$B$18)^(HeatPump_DCF!A82)</f>
        <v>0</v>
      </c>
      <c r="S82" s="37">
        <f>-R82*HeatPump_DCF!$B$10</f>
        <v>0</v>
      </c>
      <c r="T82" s="40">
        <f t="shared" si="6"/>
        <v>0</v>
      </c>
      <c r="U82" s="40">
        <f t="shared" si="7"/>
        <v>0</v>
      </c>
      <c r="V82" s="38">
        <f t="shared" si="1"/>
        <v>0</v>
      </c>
      <c r="W82" s="40">
        <f>Baseline_DCF!U82</f>
        <v>0</v>
      </c>
      <c r="X82" s="40">
        <f t="shared" si="8"/>
        <v>0</v>
      </c>
      <c r="Y82" s="38">
        <f t="shared" si="2"/>
        <v>0</v>
      </c>
      <c r="Z82" s="40">
        <f t="shared" si="3"/>
        <v>0</v>
      </c>
    </row>
    <row r="83" spans="1:26" ht="14.4" x14ac:dyDescent="0.3">
      <c r="A83" s="35">
        <f t="shared" si="4"/>
        <v>34</v>
      </c>
      <c r="B83" s="44">
        <f>1/(1+HeatPump_DCF!$B$9)^A83</f>
        <v>3.9142513012204054E-2</v>
      </c>
      <c r="C83" s="36">
        <f>IF(A83&lt;(HeatPump_DCF!$B$7+1),1,0)</f>
        <v>0</v>
      </c>
      <c r="D83" s="36">
        <f>IF(A83&lt;(HeatPump_DCF!$B$11+1),1,0)</f>
        <v>0</v>
      </c>
      <c r="E83" s="36">
        <f>IF(A83&lt;(HeatPump_DCF!$B$12+1),1,0)</f>
        <v>0</v>
      </c>
      <c r="F83" s="37">
        <f xml:space="preserve"> -HeatPump_DCF!$B$33*D83</f>
        <v>0</v>
      </c>
      <c r="G83" s="40">
        <f>-F83*HeatPump_DCF!$B$10</f>
        <v>0</v>
      </c>
      <c r="H83" s="40">
        <f>-HeatPump_DCF!$B$29*C83</f>
        <v>0</v>
      </c>
      <c r="I83" s="37">
        <f t="shared" si="10"/>
        <v>-3.3452426820647576E-9</v>
      </c>
      <c r="J83" s="37">
        <f t="shared" si="0"/>
        <v>-3.5961358832196146E-9</v>
      </c>
      <c r="K83" s="37">
        <f>-I83*HeatPump_DCF!$B$8</f>
        <v>2.5089320115485682E-10</v>
      </c>
      <c r="L83" s="40">
        <f>-(K83*HeatPump_DCF!$B$10)</f>
        <v>0</v>
      </c>
      <c r="M83" s="37">
        <f>-HeatPump_DCF!$B$15*HeatPump_DCF!$B$24*E83*(1+HeatPump_DCF!$B$16)^A83</f>
        <v>0</v>
      </c>
      <c r="N83" s="37">
        <f>M83*HeatPump_DCF!$B$10</f>
        <v>0</v>
      </c>
      <c r="O83" s="37">
        <f>-E83*HeatPump_DCF!$D$23*HeatPump_DCF!$B$14*(1+HeatPump_DCF!$B$16)^A83</f>
        <v>0</v>
      </c>
      <c r="P83" s="37">
        <f>O83*HeatPump_DCF!$B$10</f>
        <v>0</v>
      </c>
      <c r="Q83" s="40">
        <f t="shared" si="5"/>
        <v>0</v>
      </c>
      <c r="R83" s="37">
        <f>-E83*HeatPump_DCF!$B$22*(1+HeatPump_DCF!$B$18)^(HeatPump_DCF!A83)</f>
        <v>0</v>
      </c>
      <c r="S83" s="37">
        <f>-R83*HeatPump_DCF!$B$10</f>
        <v>0</v>
      </c>
      <c r="T83" s="40">
        <f t="shared" si="6"/>
        <v>0</v>
      </c>
      <c r="U83" s="40">
        <f t="shared" si="7"/>
        <v>0</v>
      </c>
      <c r="V83" s="38">
        <f t="shared" si="1"/>
        <v>0</v>
      </c>
      <c r="W83" s="40">
        <f>Baseline_DCF!U83</f>
        <v>0</v>
      </c>
      <c r="X83" s="40">
        <f t="shared" si="8"/>
        <v>0</v>
      </c>
      <c r="Y83" s="38">
        <f t="shared" si="2"/>
        <v>0</v>
      </c>
      <c r="Z83" s="40">
        <f t="shared" si="3"/>
        <v>0</v>
      </c>
    </row>
    <row r="84" spans="1:26" ht="14.4" x14ac:dyDescent="0.3">
      <c r="A84" s="35">
        <f t="shared" si="4"/>
        <v>35</v>
      </c>
      <c r="B84" s="44">
        <f>1/(1+HeatPump_DCF!$B$9)^A84</f>
        <v>3.5584102738367311E-2</v>
      </c>
      <c r="C84" s="36">
        <f>IF(A84&lt;(HeatPump_DCF!$B$7+1),1,0)</f>
        <v>0</v>
      </c>
      <c r="D84" s="36">
        <f>IF(A84&lt;(HeatPump_DCF!$B$11+1),1,0)</f>
        <v>0</v>
      </c>
      <c r="E84" s="36">
        <f>IF(A84&lt;(HeatPump_DCF!$B$12+1),1,0)</f>
        <v>0</v>
      </c>
      <c r="F84" s="37">
        <f xml:space="preserve"> -HeatPump_DCF!$B$33*D84</f>
        <v>0</v>
      </c>
      <c r="G84" s="40">
        <f>-F84*HeatPump_DCF!$B$10</f>
        <v>0</v>
      </c>
      <c r="H84" s="40">
        <f>-HeatPump_DCF!$B$29*C84</f>
        <v>0</v>
      </c>
      <c r="I84" s="37">
        <f t="shared" si="10"/>
        <v>-3.5961358832196146E-9</v>
      </c>
      <c r="J84" s="37">
        <f t="shared" si="0"/>
        <v>-3.8658460744610859E-9</v>
      </c>
      <c r="K84" s="37">
        <f>-I84*HeatPump_DCF!$B$8</f>
        <v>2.6971019124147109E-10</v>
      </c>
      <c r="L84" s="40">
        <f>-(K84*HeatPump_DCF!$B$10)</f>
        <v>0</v>
      </c>
      <c r="M84" s="37">
        <f>-HeatPump_DCF!$B$15*HeatPump_DCF!$B$24*E84*(1+HeatPump_DCF!$B$16)^A84</f>
        <v>0</v>
      </c>
      <c r="N84" s="37">
        <f>M84*HeatPump_DCF!$B$10</f>
        <v>0</v>
      </c>
      <c r="O84" s="37">
        <f>-E84*HeatPump_DCF!$D$23*HeatPump_DCF!$B$14*(1+HeatPump_DCF!$B$16)^A84</f>
        <v>0</v>
      </c>
      <c r="P84" s="37">
        <f>O84*HeatPump_DCF!$B$10</f>
        <v>0</v>
      </c>
      <c r="Q84" s="40">
        <f t="shared" si="5"/>
        <v>0</v>
      </c>
      <c r="R84" s="37">
        <f>-E84*HeatPump_DCF!$B$22*(1+HeatPump_DCF!$B$18)^(HeatPump_DCF!A84)</f>
        <v>0</v>
      </c>
      <c r="S84" s="37">
        <f>-R84*HeatPump_DCF!$B$10</f>
        <v>0</v>
      </c>
      <c r="T84" s="40">
        <f t="shared" si="6"/>
        <v>0</v>
      </c>
      <c r="U84" s="40">
        <f t="shared" si="7"/>
        <v>0</v>
      </c>
      <c r="V84" s="38">
        <f t="shared" si="1"/>
        <v>0</v>
      </c>
      <c r="W84" s="40">
        <f>Baseline_DCF!U84</f>
        <v>0</v>
      </c>
      <c r="X84" s="40">
        <f t="shared" si="8"/>
        <v>0</v>
      </c>
      <c r="Y84" s="38">
        <f t="shared" si="2"/>
        <v>0</v>
      </c>
      <c r="Z84" s="40">
        <f t="shared" si="3"/>
        <v>0</v>
      </c>
    </row>
    <row r="85" spans="1:26" ht="14.4" x14ac:dyDescent="0.3">
      <c r="A85" s="35">
        <f t="shared" si="4"/>
        <v>36</v>
      </c>
      <c r="B85" s="44">
        <f>1/(1+HeatPump_DCF!$B$9)^A85</f>
        <v>3.2349184307606652E-2</v>
      </c>
      <c r="C85" s="36">
        <f>IF(A85&lt;(HeatPump_DCF!$B$7+1),1,0)</f>
        <v>0</v>
      </c>
      <c r="D85" s="36">
        <f>IF(A85&lt;(HeatPump_DCF!$B$11+1),1,0)</f>
        <v>0</v>
      </c>
      <c r="E85" s="36">
        <f>IF(A85&lt;(HeatPump_DCF!$B$12+1),1,0)</f>
        <v>0</v>
      </c>
      <c r="F85" s="37">
        <f xml:space="preserve"> -HeatPump_DCF!$B$33*D85</f>
        <v>0</v>
      </c>
      <c r="G85" s="40">
        <f>-F85*HeatPump_DCF!$B$10</f>
        <v>0</v>
      </c>
      <c r="H85" s="40">
        <f>-HeatPump_DCF!$B$29*C85</f>
        <v>0</v>
      </c>
      <c r="I85" s="37">
        <f t="shared" si="10"/>
        <v>-3.8658460744610859E-9</v>
      </c>
      <c r="J85" s="37">
        <f t="shared" si="0"/>
        <v>-4.1557845300456674E-9</v>
      </c>
      <c r="K85" s="37">
        <f>-I85*HeatPump_DCF!$B$8</f>
        <v>2.8993845558458144E-10</v>
      </c>
      <c r="L85" s="40">
        <f>-(K85*HeatPump_DCF!$B$10)</f>
        <v>0</v>
      </c>
      <c r="M85" s="37">
        <f>-HeatPump_DCF!$B$15*HeatPump_DCF!$B$24*E85*(1+HeatPump_DCF!$B$16)^A85</f>
        <v>0</v>
      </c>
      <c r="N85" s="37">
        <f>M85*HeatPump_DCF!$B$10</f>
        <v>0</v>
      </c>
      <c r="O85" s="37">
        <f>-E85*HeatPump_DCF!$D$23*HeatPump_DCF!$B$14*(1+HeatPump_DCF!$B$16)^A85</f>
        <v>0</v>
      </c>
      <c r="P85" s="37">
        <f>O85*HeatPump_DCF!$B$10</f>
        <v>0</v>
      </c>
      <c r="Q85" s="40">
        <f t="shared" si="5"/>
        <v>0</v>
      </c>
      <c r="R85" s="37">
        <f>-E85*HeatPump_DCF!$B$22*(1+HeatPump_DCF!$B$18)^(HeatPump_DCF!A85)</f>
        <v>0</v>
      </c>
      <c r="S85" s="37">
        <f>-R85*HeatPump_DCF!$B$10</f>
        <v>0</v>
      </c>
      <c r="T85" s="40">
        <f t="shared" si="6"/>
        <v>0</v>
      </c>
      <c r="U85" s="40">
        <f t="shared" si="7"/>
        <v>0</v>
      </c>
      <c r="V85" s="38">
        <f t="shared" si="1"/>
        <v>0</v>
      </c>
      <c r="W85" s="40">
        <f>Baseline_DCF!U85</f>
        <v>0</v>
      </c>
      <c r="X85" s="40">
        <f t="shared" si="8"/>
        <v>0</v>
      </c>
      <c r="Y85" s="38">
        <f t="shared" si="2"/>
        <v>0</v>
      </c>
      <c r="Z85" s="40">
        <f t="shared" si="3"/>
        <v>0</v>
      </c>
    </row>
    <row r="86" spans="1:26" ht="14.4" x14ac:dyDescent="0.3">
      <c r="A86" s="35">
        <f t="shared" si="4"/>
        <v>37</v>
      </c>
      <c r="B86" s="44">
        <f>1/(1+HeatPump_DCF!$B$9)^A86</f>
        <v>2.94083493705515E-2</v>
      </c>
      <c r="C86" s="36">
        <f>IF(A86&lt;(HeatPump_DCF!$B$7+1),1,0)</f>
        <v>0</v>
      </c>
      <c r="D86" s="36">
        <f>IF(A86&lt;(HeatPump_DCF!$B$11+1),1,0)</f>
        <v>0</v>
      </c>
      <c r="E86" s="36">
        <f>IF(A86&lt;(HeatPump_DCF!$B$12+1),1,0)</f>
        <v>0</v>
      </c>
      <c r="F86" s="37">
        <f xml:space="preserve"> -HeatPump_DCF!$B$33*D86</f>
        <v>0</v>
      </c>
      <c r="G86" s="40">
        <f>-F86*HeatPump_DCF!$B$10</f>
        <v>0</v>
      </c>
      <c r="H86" s="40">
        <f>-HeatPump_DCF!$B$29*C86</f>
        <v>0</v>
      </c>
      <c r="I86" s="37">
        <f t="shared" si="10"/>
        <v>-4.1557845300456674E-9</v>
      </c>
      <c r="J86" s="37">
        <f t="shared" si="0"/>
        <v>-4.4674683697990924E-9</v>
      </c>
      <c r="K86" s="37">
        <f>-I86*HeatPump_DCF!$B$8</f>
        <v>3.1168383975342506E-10</v>
      </c>
      <c r="L86" s="40">
        <f>-(K86*HeatPump_DCF!$B$10)</f>
        <v>0</v>
      </c>
      <c r="M86" s="37">
        <f>-HeatPump_DCF!$B$15*HeatPump_DCF!$B$24*E86*(1+HeatPump_DCF!$B$16)^A86</f>
        <v>0</v>
      </c>
      <c r="N86" s="37">
        <f>M86*HeatPump_DCF!$B$10</f>
        <v>0</v>
      </c>
      <c r="O86" s="37">
        <f>-E86*HeatPump_DCF!$D$23*HeatPump_DCF!$B$14*(1+HeatPump_DCF!$B$16)^A86</f>
        <v>0</v>
      </c>
      <c r="P86" s="37">
        <f>O86*HeatPump_DCF!$B$10</f>
        <v>0</v>
      </c>
      <c r="Q86" s="40">
        <f t="shared" si="5"/>
        <v>0</v>
      </c>
      <c r="R86" s="37">
        <f>-E86*HeatPump_DCF!$B$22*(1+HeatPump_DCF!$B$18)^(HeatPump_DCF!A86)</f>
        <v>0</v>
      </c>
      <c r="S86" s="37">
        <f>-R86*HeatPump_DCF!$B$10</f>
        <v>0</v>
      </c>
      <c r="T86" s="40">
        <f t="shared" si="6"/>
        <v>0</v>
      </c>
      <c r="U86" s="40">
        <f t="shared" si="7"/>
        <v>0</v>
      </c>
      <c r="V86" s="38">
        <f t="shared" si="1"/>
        <v>0</v>
      </c>
      <c r="W86" s="40">
        <f>Baseline_DCF!U86</f>
        <v>0</v>
      </c>
      <c r="X86" s="40">
        <f t="shared" si="8"/>
        <v>0</v>
      </c>
      <c r="Y86" s="38">
        <f t="shared" si="2"/>
        <v>0</v>
      </c>
      <c r="Z86" s="40">
        <f t="shared" si="3"/>
        <v>0</v>
      </c>
    </row>
    <row r="87" spans="1:26" ht="14.4" x14ac:dyDescent="0.3">
      <c r="A87" s="35">
        <f t="shared" si="4"/>
        <v>38</v>
      </c>
      <c r="B87" s="44">
        <f>1/(1+HeatPump_DCF!$B$9)^A87</f>
        <v>2.6734863064137721E-2</v>
      </c>
      <c r="C87" s="36">
        <f>IF(A87&lt;(HeatPump_DCF!$B$7+1),1,0)</f>
        <v>0</v>
      </c>
      <c r="D87" s="36">
        <f>IF(A87&lt;(HeatPump_DCF!$B$11+1),1,0)</f>
        <v>0</v>
      </c>
      <c r="E87" s="36">
        <f>IF(A87&lt;(HeatPump_DCF!$B$12+1),1,0)</f>
        <v>0</v>
      </c>
      <c r="F87" s="37">
        <f xml:space="preserve"> -HeatPump_DCF!$B$33*D87</f>
        <v>0</v>
      </c>
      <c r="G87" s="40">
        <f>-F87*HeatPump_DCF!$B$10</f>
        <v>0</v>
      </c>
      <c r="H87" s="40">
        <f>-HeatPump_DCF!$B$29*C87</f>
        <v>0</v>
      </c>
      <c r="I87" s="37">
        <f t="shared" si="10"/>
        <v>-4.4674683697990924E-9</v>
      </c>
      <c r="J87" s="37">
        <f t="shared" si="0"/>
        <v>-4.8025284975340244E-9</v>
      </c>
      <c r="K87" s="37">
        <f>-I87*HeatPump_DCF!$B$8</f>
        <v>3.3506012773493194E-10</v>
      </c>
      <c r="L87" s="40">
        <f>-(K87*HeatPump_DCF!$B$10)</f>
        <v>0</v>
      </c>
      <c r="M87" s="37">
        <f>-HeatPump_DCF!$B$15*HeatPump_DCF!$B$24*E87*(1+HeatPump_DCF!$B$16)^A87</f>
        <v>0</v>
      </c>
      <c r="N87" s="37">
        <f>M87*HeatPump_DCF!$B$10</f>
        <v>0</v>
      </c>
      <c r="O87" s="37">
        <f>-E87*HeatPump_DCF!$D$23*HeatPump_DCF!$B$14*(1+HeatPump_DCF!$B$16)^A87</f>
        <v>0</v>
      </c>
      <c r="P87" s="37">
        <f>O87*HeatPump_DCF!$B$10</f>
        <v>0</v>
      </c>
      <c r="Q87" s="40">
        <f t="shared" si="5"/>
        <v>0</v>
      </c>
      <c r="R87" s="37">
        <f>-E87*HeatPump_DCF!$B$22*(1+HeatPump_DCF!$B$18)^(HeatPump_DCF!A87)</f>
        <v>0</v>
      </c>
      <c r="S87" s="37">
        <f>-R87*HeatPump_DCF!$B$10</f>
        <v>0</v>
      </c>
      <c r="T87" s="40">
        <f t="shared" si="6"/>
        <v>0</v>
      </c>
      <c r="U87" s="40">
        <f t="shared" si="7"/>
        <v>0</v>
      </c>
      <c r="V87" s="38">
        <f t="shared" si="1"/>
        <v>0</v>
      </c>
      <c r="W87" s="40">
        <f>Baseline_DCF!U87</f>
        <v>0</v>
      </c>
      <c r="X87" s="40">
        <f t="shared" si="8"/>
        <v>0</v>
      </c>
      <c r="Y87" s="38">
        <f t="shared" si="2"/>
        <v>0</v>
      </c>
      <c r="Z87" s="40">
        <f t="shared" si="3"/>
        <v>0</v>
      </c>
    </row>
    <row r="88" spans="1:26" ht="14.4" x14ac:dyDescent="0.3">
      <c r="A88" s="35">
        <f t="shared" si="4"/>
        <v>39</v>
      </c>
      <c r="B88" s="44">
        <f>1/(1+HeatPump_DCF!$B$9)^A88</f>
        <v>2.4304420967397926E-2</v>
      </c>
      <c r="C88" s="36">
        <f>IF(A88&lt;(HeatPump_DCF!$B$7+1),1,0)</f>
        <v>0</v>
      </c>
      <c r="D88" s="36">
        <f>IF(A88&lt;(HeatPump_DCF!$B$11+1),1,0)</f>
        <v>0</v>
      </c>
      <c r="E88" s="36">
        <f>IF(A88&lt;(HeatPump_DCF!$B$12+1),1,0)</f>
        <v>0</v>
      </c>
      <c r="F88" s="37">
        <f xml:space="preserve"> -HeatPump_DCF!$B$33*D88</f>
        <v>0</v>
      </c>
      <c r="G88" s="40">
        <f>-F88*HeatPump_DCF!$B$10</f>
        <v>0</v>
      </c>
      <c r="H88" s="40">
        <f>-HeatPump_DCF!$B$29*C88</f>
        <v>0</v>
      </c>
      <c r="I88" s="37">
        <f t="shared" si="10"/>
        <v>-4.8025284975340244E-9</v>
      </c>
      <c r="J88" s="37">
        <f t="shared" si="0"/>
        <v>-5.1627181348490761E-9</v>
      </c>
      <c r="K88" s="37">
        <f>-I88*HeatPump_DCF!$B$8</f>
        <v>3.6018963731505184E-10</v>
      </c>
      <c r="L88" s="40">
        <f>-(K88*HeatPump_DCF!$B$10)</f>
        <v>0</v>
      </c>
      <c r="M88" s="37">
        <f>-HeatPump_DCF!$B$15*HeatPump_DCF!$B$24*E88*(1+HeatPump_DCF!$B$16)^A88</f>
        <v>0</v>
      </c>
      <c r="N88" s="37">
        <f>M88*HeatPump_DCF!$B$10</f>
        <v>0</v>
      </c>
      <c r="O88" s="37">
        <f>-E88*HeatPump_DCF!$D$23*HeatPump_DCF!$B$14*(1+HeatPump_DCF!$B$16)^A88</f>
        <v>0</v>
      </c>
      <c r="P88" s="37">
        <f>O88*HeatPump_DCF!$B$10</f>
        <v>0</v>
      </c>
      <c r="Q88" s="40">
        <f t="shared" si="5"/>
        <v>0</v>
      </c>
      <c r="R88" s="37">
        <f>-E88*HeatPump_DCF!$B$22*(1+HeatPump_DCF!$B$18)^(HeatPump_DCF!A88)</f>
        <v>0</v>
      </c>
      <c r="S88" s="37">
        <f>-R88*HeatPump_DCF!$B$10</f>
        <v>0</v>
      </c>
      <c r="T88" s="40">
        <f t="shared" si="6"/>
        <v>0</v>
      </c>
      <c r="U88" s="40">
        <f t="shared" si="7"/>
        <v>0</v>
      </c>
      <c r="V88" s="38">
        <f t="shared" si="1"/>
        <v>0</v>
      </c>
      <c r="W88" s="40">
        <f>Baseline_DCF!U88</f>
        <v>0</v>
      </c>
      <c r="X88" s="40">
        <f t="shared" si="8"/>
        <v>0</v>
      </c>
      <c r="Y88" s="38">
        <f t="shared" si="2"/>
        <v>0</v>
      </c>
      <c r="Z88" s="40">
        <f t="shared" si="3"/>
        <v>0</v>
      </c>
    </row>
    <row r="89" spans="1:26" ht="14.4" x14ac:dyDescent="0.3">
      <c r="A89" s="35">
        <f t="shared" si="4"/>
        <v>40</v>
      </c>
      <c r="B89" s="44">
        <f>1/(1+HeatPump_DCF!$B$9)^A89</f>
        <v>2.2094928152179935E-2</v>
      </c>
      <c r="C89" s="36">
        <f>IF(A89&lt;(HeatPump_DCF!$B$7+1),1,0)</f>
        <v>0</v>
      </c>
      <c r="D89" s="36">
        <f>IF(A89&lt;(HeatPump_DCF!$B$11+1),1,0)</f>
        <v>0</v>
      </c>
      <c r="E89" s="36">
        <f>IF(A89&lt;(HeatPump_DCF!$B$12+1),1,0)</f>
        <v>0</v>
      </c>
      <c r="F89" s="37">
        <f xml:space="preserve"> -HeatPump_DCF!$B$33*D89</f>
        <v>0</v>
      </c>
      <c r="G89" s="40">
        <f>-F89*HeatPump_DCF!$B$10</f>
        <v>0</v>
      </c>
      <c r="H89" s="40">
        <f>-HeatPump_DCF!$B$29*C89</f>
        <v>0</v>
      </c>
      <c r="I89" s="37">
        <f t="shared" si="10"/>
        <v>-5.1627181348490761E-9</v>
      </c>
      <c r="J89" s="37">
        <f t="shared" si="0"/>
        <v>-5.5499219949627571E-9</v>
      </c>
      <c r="K89" s="37">
        <f>-I89*HeatPump_DCF!$B$8</f>
        <v>3.8720386011368072E-10</v>
      </c>
      <c r="L89" s="40">
        <f>-(K89*HeatPump_DCF!$B$10)</f>
        <v>0</v>
      </c>
      <c r="M89" s="37">
        <f>-HeatPump_DCF!$B$15*HeatPump_DCF!$B$24*E89*(1+HeatPump_DCF!$B$16)^A89</f>
        <v>0</v>
      </c>
      <c r="N89" s="37">
        <f>M89*HeatPump_DCF!$B$10</f>
        <v>0</v>
      </c>
      <c r="O89" s="37">
        <f>-E89*HeatPump_DCF!$D$23*HeatPump_DCF!$B$14*(1+HeatPump_DCF!$B$16)^A89</f>
        <v>0</v>
      </c>
      <c r="P89" s="37">
        <f>O89*HeatPump_DCF!$B$10</f>
        <v>0</v>
      </c>
      <c r="Q89" s="40">
        <f t="shared" si="5"/>
        <v>0</v>
      </c>
      <c r="R89" s="37">
        <f>-E89*HeatPump_DCF!$B$22*(1+HeatPump_DCF!$B$18)^(HeatPump_DCF!A89)</f>
        <v>0</v>
      </c>
      <c r="S89" s="37">
        <f>-R89*HeatPump_DCF!$B$10</f>
        <v>0</v>
      </c>
      <c r="T89" s="40">
        <f t="shared" si="6"/>
        <v>0</v>
      </c>
      <c r="U89" s="40">
        <f t="shared" si="7"/>
        <v>0</v>
      </c>
      <c r="V89" s="38">
        <f t="shared" si="1"/>
        <v>0</v>
      </c>
      <c r="W89" s="40">
        <f>Baseline_DCF!U89</f>
        <v>0</v>
      </c>
      <c r="X89" s="40">
        <f t="shared" si="8"/>
        <v>0</v>
      </c>
      <c r="Y89" s="38">
        <f t="shared" si="2"/>
        <v>0</v>
      </c>
      <c r="Z89" s="40">
        <f t="shared" si="3"/>
        <v>0</v>
      </c>
    </row>
  </sheetData>
  <pageMargins left="0.75" right="0.75" top="1" bottom="1" header="0.5" footer="0.5"/>
  <pageSetup paperSize="9" orientation="portrait" r:id="rId1"/>
  <headerFooter alignWithMargins="0"/>
  <drawing r:id="rId2"/>
  <legacyDrawing r:id="rId3"/>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D89"/>
  <sheetViews>
    <sheetView workbookViewId="0">
      <selection activeCell="B5" sqref="B5"/>
    </sheetView>
  </sheetViews>
  <sheetFormatPr defaultColWidth="9.109375" defaultRowHeight="13.2" x14ac:dyDescent="0.25"/>
  <cols>
    <col min="1" max="1" width="41.33203125" style="4" customWidth="1"/>
    <col min="2" max="2" width="17.88671875" style="4" bestFit="1" customWidth="1"/>
    <col min="3" max="3" width="8.109375" style="4" customWidth="1"/>
    <col min="4" max="4" width="9.5546875" style="4" bestFit="1" customWidth="1"/>
    <col min="5" max="5" width="5.33203125" style="4" customWidth="1"/>
    <col min="6" max="6" width="14.88671875" style="4" bestFit="1" customWidth="1"/>
    <col min="7" max="7" width="15.44140625" style="4" bestFit="1" customWidth="1"/>
    <col min="8" max="8" width="17.44140625" style="4" bestFit="1" customWidth="1"/>
    <col min="9" max="10" width="14.44140625" style="4" bestFit="1" customWidth="1"/>
    <col min="11" max="11" width="15.44140625" style="4" bestFit="1" customWidth="1"/>
    <col min="12" max="12" width="14.88671875" style="4" customWidth="1"/>
    <col min="13" max="13" width="14.44140625" style="4" bestFit="1" customWidth="1"/>
    <col min="14" max="14" width="12.6640625" style="4" bestFit="1" customWidth="1"/>
    <col min="15" max="15" width="13.44140625" style="4" bestFit="1" customWidth="1"/>
    <col min="16" max="16" width="11.6640625" style="4" bestFit="1" customWidth="1"/>
    <col min="17" max="18" width="13.44140625" style="4" bestFit="1" customWidth="1"/>
    <col min="19" max="20" width="14.44140625" style="4" bestFit="1" customWidth="1"/>
    <col min="21" max="21" width="13.44140625" style="4" customWidth="1"/>
    <col min="22" max="22" width="14.44140625" style="4" bestFit="1" customWidth="1"/>
    <col min="23" max="30" width="15.6640625" style="4" customWidth="1"/>
    <col min="31" max="31" width="12.6640625" style="4" bestFit="1" customWidth="1"/>
    <col min="32" max="32" width="12.109375" style="4" customWidth="1"/>
    <col min="33" max="16384" width="9.109375" style="4"/>
  </cols>
  <sheetData>
    <row r="1" spans="1:6" ht="20.399999999999999" thickBot="1" x14ac:dyDescent="0.45">
      <c r="A1" s="2" t="s">
        <v>4</v>
      </c>
    </row>
    <row r="2" spans="1:6" ht="13.8" thickTop="1" x14ac:dyDescent="0.25">
      <c r="A2" s="3" t="s">
        <v>3</v>
      </c>
      <c r="B2" s="4" t="s">
        <v>36</v>
      </c>
    </row>
    <row r="3" spans="1:6" x14ac:dyDescent="0.25">
      <c r="A3" s="5" t="s">
        <v>5</v>
      </c>
      <c r="B3" s="61">
        <f>Geothermal!C7</f>
        <v>3348.8</v>
      </c>
      <c r="C3" s="6" t="s">
        <v>218</v>
      </c>
      <c r="D3" s="6"/>
      <c r="E3" s="6"/>
    </row>
    <row r="4" spans="1:6" x14ac:dyDescent="0.25">
      <c r="A4" s="5" t="s">
        <v>7</v>
      </c>
      <c r="B4" s="62">
        <f>Geothermal!C3*'General Parameters'!C3*1000/(Geo_DCF!B3*8760*3.6)</f>
        <v>0.9942451499926187</v>
      </c>
      <c r="C4" s="6"/>
      <c r="D4" s="6"/>
      <c r="E4" s="6"/>
      <c r="F4" s="4" t="s">
        <v>1</v>
      </c>
    </row>
    <row r="5" spans="1:6" x14ac:dyDescent="0.25">
      <c r="A5" s="5" t="s">
        <v>8</v>
      </c>
      <c r="B5" s="145">
        <f>Geothermal!H20/Geothermal!C7</f>
        <v>1624.4624940277113</v>
      </c>
      <c r="C5" s="6" t="s">
        <v>232</v>
      </c>
      <c r="D5" s="6"/>
      <c r="E5" s="6"/>
    </row>
    <row r="6" spans="1:6" x14ac:dyDescent="0.25">
      <c r="A6" s="5" t="s">
        <v>10</v>
      </c>
      <c r="B6" s="18">
        <f>'General Parameters'!C7</f>
        <v>0.6</v>
      </c>
      <c r="C6" s="6" t="s">
        <v>1</v>
      </c>
      <c r="D6" s="6"/>
      <c r="E6" s="6"/>
    </row>
    <row r="7" spans="1:6" x14ac:dyDescent="0.25">
      <c r="A7" s="5" t="s">
        <v>11</v>
      </c>
      <c r="B7" s="18">
        <f>'General Parameters'!C8</f>
        <v>10</v>
      </c>
      <c r="C7" s="6" t="s">
        <v>12</v>
      </c>
      <c r="D7" s="6"/>
      <c r="E7" s="6"/>
    </row>
    <row r="8" spans="1:6" ht="14.4" x14ac:dyDescent="0.3">
      <c r="A8" s="5" t="s">
        <v>13</v>
      </c>
      <c r="B8" s="64">
        <f>'General Parameters'!C9</f>
        <v>7.4999999999999997E-2</v>
      </c>
      <c r="C8" s="6" t="s">
        <v>14</v>
      </c>
      <c r="D8" s="6"/>
      <c r="E8" s="6"/>
    </row>
    <row r="9" spans="1:6" ht="14.4" x14ac:dyDescent="0.3">
      <c r="A9" s="5" t="s">
        <v>15</v>
      </c>
      <c r="B9" s="64">
        <f>'General Parameters'!C10</f>
        <v>0.1</v>
      </c>
      <c r="C9" s="6" t="s">
        <v>14</v>
      </c>
      <c r="D9" s="6"/>
      <c r="E9" s="6"/>
    </row>
    <row r="10" spans="1:6" ht="14.4" x14ac:dyDescent="0.3">
      <c r="A10" s="5" t="s">
        <v>16</v>
      </c>
      <c r="B10" s="65">
        <f>'General Parameters'!C11</f>
        <v>0</v>
      </c>
      <c r="C10" s="6" t="s">
        <v>14</v>
      </c>
      <c r="D10" s="6"/>
      <c r="E10" s="6"/>
    </row>
    <row r="11" spans="1:6" x14ac:dyDescent="0.25">
      <c r="A11" s="5" t="s">
        <v>17</v>
      </c>
      <c r="B11" s="18">
        <f>'General Parameters'!C13</f>
        <v>15</v>
      </c>
      <c r="C11" s="6" t="s">
        <v>0</v>
      </c>
      <c r="D11" s="6"/>
      <c r="E11" s="6"/>
    </row>
    <row r="12" spans="1:6" x14ac:dyDescent="0.25">
      <c r="A12" s="5" t="s">
        <v>18</v>
      </c>
      <c r="B12" s="18">
        <f>'General Parameters'!C14</f>
        <v>20</v>
      </c>
      <c r="C12" s="6" t="s">
        <v>0</v>
      </c>
      <c r="D12" s="6"/>
      <c r="E12" s="6"/>
    </row>
    <row r="13" spans="1:6" ht="14.4" x14ac:dyDescent="0.3">
      <c r="A13" s="7" t="s">
        <v>19</v>
      </c>
      <c r="B13" s="64">
        <f>'General Parameters'!C15</f>
        <v>0.05</v>
      </c>
      <c r="C13" s="6" t="s">
        <v>14</v>
      </c>
      <c r="D13" s="6"/>
      <c r="E13" s="6"/>
    </row>
    <row r="14" spans="1:6" x14ac:dyDescent="0.25">
      <c r="A14" s="5" t="s">
        <v>37</v>
      </c>
      <c r="B14" s="18">
        <f>'Heat Pump'!C7</f>
        <v>0</v>
      </c>
      <c r="C14" s="6" t="s">
        <v>21</v>
      </c>
      <c r="D14" s="8">
        <f>B14/0.0036</f>
        <v>0</v>
      </c>
      <c r="E14" s="6" t="s">
        <v>20</v>
      </c>
    </row>
    <row r="15" spans="1:6" x14ac:dyDescent="0.25">
      <c r="A15" s="67" t="s">
        <v>38</v>
      </c>
      <c r="B15" s="18">
        <f>'Heat Pump'!C8</f>
        <v>0.02</v>
      </c>
      <c r="C15" s="6" t="s">
        <v>14</v>
      </c>
      <c r="D15" s="6"/>
      <c r="E15" s="6"/>
    </row>
    <row r="16" spans="1:6" ht="14.4" x14ac:dyDescent="0.3">
      <c r="A16" s="5" t="s">
        <v>23</v>
      </c>
      <c r="B16" s="66">
        <f>'General Parameters'!C12</f>
        <v>2.5000000000000001E-2</v>
      </c>
      <c r="C16" s="6" t="s">
        <v>14</v>
      </c>
      <c r="D16" s="6"/>
      <c r="E16" s="6"/>
    </row>
    <row r="17" spans="1:6" x14ac:dyDescent="0.25">
      <c r="A17" s="5" t="s">
        <v>24</v>
      </c>
      <c r="B17" s="18">
        <f>D17/0.0036</f>
        <v>27.777777777777779</v>
      </c>
      <c r="C17" s="6" t="s">
        <v>21</v>
      </c>
      <c r="D17" s="6">
        <f>Geothermal!C13/100</f>
        <v>0.1</v>
      </c>
      <c r="E17" s="6" t="s">
        <v>20</v>
      </c>
    </row>
    <row r="18" spans="1:6" ht="14.4" x14ac:dyDescent="0.3">
      <c r="A18" s="5" t="s">
        <v>25</v>
      </c>
      <c r="B18" s="66">
        <f>Baseline!C11</f>
        <v>2.5000000000000001E-2</v>
      </c>
      <c r="C18" s="6"/>
      <c r="D18" s="6"/>
      <c r="E18" s="6"/>
    </row>
    <row r="19" spans="1:6" ht="14.4" x14ac:dyDescent="0.3">
      <c r="A19" s="67" t="s">
        <v>241</v>
      </c>
      <c r="B19" s="65">
        <f>1/D19</f>
        <v>41.907840000000007</v>
      </c>
      <c r="C19" s="6"/>
      <c r="D19" s="243">
        <f>B4*(Geothermal!H16/1600+Geothermal!C5/25)/100</f>
        <v>2.3861883599822845E-2</v>
      </c>
      <c r="E19" s="6"/>
    </row>
    <row r="20" spans="1:6" x14ac:dyDescent="0.25">
      <c r="A20" s="3" t="s">
        <v>27</v>
      </c>
    </row>
    <row r="21" spans="1:6" x14ac:dyDescent="0.25">
      <c r="A21" s="5" t="s">
        <v>28</v>
      </c>
      <c r="B21" s="86">
        <f>B23/B19</f>
        <v>695971.60499483289</v>
      </c>
      <c r="C21" s="6" t="s">
        <v>29</v>
      </c>
      <c r="D21" s="6">
        <f>D23/B19</f>
        <v>2505.4977779813985</v>
      </c>
      <c r="E21" s="6" t="s">
        <v>32</v>
      </c>
    </row>
    <row r="22" spans="1:6" x14ac:dyDescent="0.25">
      <c r="A22" s="5" t="s">
        <v>30</v>
      </c>
      <c r="B22" s="86">
        <f>B21*B17*0.0036</f>
        <v>69597.160499483289</v>
      </c>
      <c r="C22" s="6"/>
      <c r="D22" s="19"/>
      <c r="E22" s="6"/>
    </row>
    <row r="23" spans="1:6" x14ac:dyDescent="0.25">
      <c r="A23" s="5" t="s">
        <v>31</v>
      </c>
      <c r="B23" s="86">
        <f>B3*B4*365*24</f>
        <v>29166666.666666664</v>
      </c>
      <c r="C23" s="6" t="s">
        <v>29</v>
      </c>
      <c r="D23" s="6">
        <f>B23*0.0036</f>
        <v>104999.99999999999</v>
      </c>
      <c r="E23" s="6" t="s">
        <v>32</v>
      </c>
    </row>
    <row r="24" spans="1:6" x14ac:dyDescent="0.25">
      <c r="A24" s="5" t="s">
        <v>33</v>
      </c>
      <c r="B24" s="86">
        <f>B5*B3</f>
        <v>5440000</v>
      </c>
      <c r="C24" s="6" t="s">
        <v>34</v>
      </c>
      <c r="D24" s="6"/>
      <c r="E24" s="6"/>
    </row>
    <row r="25" spans="1:6" x14ac:dyDescent="0.25">
      <c r="A25" s="5" t="s">
        <v>40</v>
      </c>
      <c r="B25" s="86">
        <f>B13*B24</f>
        <v>272000</v>
      </c>
      <c r="C25" s="6" t="s">
        <v>34</v>
      </c>
      <c r="D25" s="6"/>
      <c r="E25" s="6"/>
    </row>
    <row r="26" spans="1:6" x14ac:dyDescent="0.25">
      <c r="A26" s="5" t="s">
        <v>41</v>
      </c>
      <c r="B26" s="86">
        <f>B24*B6</f>
        <v>3264000</v>
      </c>
      <c r="C26" s="6" t="s">
        <v>34</v>
      </c>
      <c r="D26" s="6"/>
      <c r="E26" s="6"/>
    </row>
    <row r="27" spans="1:6" x14ac:dyDescent="0.25">
      <c r="A27" s="5" t="s">
        <v>42</v>
      </c>
      <c r="B27" s="86">
        <f>B24-B26</f>
        <v>2176000</v>
      </c>
      <c r="C27" s="6" t="s">
        <v>34</v>
      </c>
      <c r="D27" s="6"/>
      <c r="E27" s="6"/>
    </row>
    <row r="28" spans="1:6" x14ac:dyDescent="0.25">
      <c r="A28" s="5" t="s">
        <v>43</v>
      </c>
      <c r="B28" s="20">
        <f>(B8*(1+B8)^B7)/((1+B8)^B7-1)</f>
        <v>0.14568592742612235</v>
      </c>
      <c r="C28" s="6" t="s">
        <v>14</v>
      </c>
      <c r="D28" s="6"/>
      <c r="E28" s="6"/>
    </row>
    <row r="29" spans="1:6" x14ac:dyDescent="0.25">
      <c r="A29" s="5" t="s">
        <v>44</v>
      </c>
      <c r="B29" s="21">
        <f>B28*B26</f>
        <v>475518.86711886333</v>
      </c>
      <c r="C29" s="6" t="s">
        <v>45</v>
      </c>
      <c r="D29" s="6"/>
      <c r="E29" s="6"/>
      <c r="F29" s="4" t="s">
        <v>1</v>
      </c>
    </row>
    <row r="30" spans="1:6" x14ac:dyDescent="0.25">
      <c r="A30" s="5" t="s">
        <v>46</v>
      </c>
      <c r="B30" s="20">
        <f>(B9*(1+B9)^B12)/((1+B9)^B12-1)</f>
        <v>0.11745962477254576</v>
      </c>
      <c r="C30" s="6" t="s">
        <v>14</v>
      </c>
      <c r="D30" s="6"/>
      <c r="E30" s="6"/>
    </row>
    <row r="31" spans="1:6" x14ac:dyDescent="0.25">
      <c r="A31" s="5" t="s">
        <v>47</v>
      </c>
      <c r="B31" s="20">
        <f>(1+B9)/(1+B16)-1</f>
        <v>7.317073170731736E-2</v>
      </c>
      <c r="C31" s="6"/>
      <c r="D31" s="6"/>
      <c r="E31" s="6"/>
    </row>
    <row r="32" spans="1:6" x14ac:dyDescent="0.25">
      <c r="A32" s="5" t="s">
        <v>48</v>
      </c>
      <c r="B32" s="20">
        <f>(B31*(1+B31)^B12)/((1+B31)^B12-1)</f>
        <v>9.6731649089452268E-2</v>
      </c>
      <c r="C32" s="6"/>
      <c r="D32" s="6"/>
      <c r="E32" s="6"/>
    </row>
    <row r="33" spans="1:30" x14ac:dyDescent="0.25">
      <c r="A33" s="7" t="s">
        <v>49</v>
      </c>
      <c r="B33" s="19">
        <f>B24/B11</f>
        <v>362666.66666666669</v>
      </c>
      <c r="C33" s="6" t="s">
        <v>34</v>
      </c>
      <c r="D33" s="6"/>
      <c r="E33" s="6"/>
    </row>
    <row r="34" spans="1:30" x14ac:dyDescent="0.25">
      <c r="A34" s="5" t="s">
        <v>50</v>
      </c>
      <c r="B34" s="19">
        <f>-SUM(Geo_DCF!V50:V89)</f>
        <v>4725674.626936106</v>
      </c>
      <c r="C34" s="6" t="s">
        <v>34</v>
      </c>
      <c r="D34" s="6"/>
      <c r="E34" s="6"/>
    </row>
    <row r="35" spans="1:30" x14ac:dyDescent="0.25">
      <c r="A35" s="5" t="s">
        <v>51</v>
      </c>
      <c r="B35" s="19">
        <f>B25/(1+B9)^B12*(1-B10)</f>
        <v>40431.066822567031</v>
      </c>
      <c r="C35" s="6" t="s">
        <v>34</v>
      </c>
      <c r="D35" s="6"/>
      <c r="E35" s="6"/>
    </row>
    <row r="36" spans="1:30" x14ac:dyDescent="0.25">
      <c r="A36" s="5" t="s">
        <v>52</v>
      </c>
      <c r="B36" s="19">
        <f>B24-B26+B34</f>
        <v>6901674.626936106</v>
      </c>
      <c r="C36" s="6" t="s">
        <v>34</v>
      </c>
      <c r="D36" s="6"/>
      <c r="E36" s="6"/>
      <c r="F36" s="4" t="s">
        <v>1</v>
      </c>
    </row>
    <row r="37" spans="1:30" x14ac:dyDescent="0.25">
      <c r="A37" s="10" t="s">
        <v>108</v>
      </c>
      <c r="B37" s="22">
        <f>B30*$B$36/($B$23)</f>
        <v>2.7794335267958221E-2</v>
      </c>
      <c r="C37" s="12" t="s">
        <v>35</v>
      </c>
      <c r="D37" s="11">
        <f>B37/0.0036</f>
        <v>7.7206486855439502</v>
      </c>
      <c r="E37" s="13" t="s">
        <v>21</v>
      </c>
    </row>
    <row r="38" spans="1:30" x14ac:dyDescent="0.25">
      <c r="A38" s="10" t="s">
        <v>109</v>
      </c>
      <c r="B38" s="22">
        <f>B37/(1-B10)</f>
        <v>2.7794335267958221E-2</v>
      </c>
      <c r="C38" s="12" t="s">
        <v>35</v>
      </c>
      <c r="D38" s="11">
        <f>B38/0.0036</f>
        <v>7.7206486855439502</v>
      </c>
      <c r="E38" s="13" t="s">
        <v>21</v>
      </c>
      <c r="F38" s="4" t="s">
        <v>1</v>
      </c>
    </row>
    <row r="39" spans="1:30" x14ac:dyDescent="0.25">
      <c r="A39" s="14" t="s">
        <v>110</v>
      </c>
      <c r="B39" s="23">
        <f>B32*$B$36/($B$23)</f>
        <v>2.2889498336309481E-2</v>
      </c>
      <c r="C39" s="16" t="s">
        <v>35</v>
      </c>
      <c r="D39" s="15">
        <f>B39/0.0036</f>
        <v>6.3581939823081894</v>
      </c>
      <c r="E39" s="17" t="s">
        <v>21</v>
      </c>
    </row>
    <row r="40" spans="1:30" x14ac:dyDescent="0.25">
      <c r="A40" s="10" t="s">
        <v>111</v>
      </c>
      <c r="B40" s="22">
        <f>B39/(1-B10)</f>
        <v>2.2889498336309481E-2</v>
      </c>
      <c r="C40" s="12" t="s">
        <v>35</v>
      </c>
      <c r="D40" s="11">
        <f>B40/0.0036</f>
        <v>6.3581939823081894</v>
      </c>
      <c r="E40" s="13" t="s">
        <v>21</v>
      </c>
    </row>
    <row r="41" spans="1:30" x14ac:dyDescent="0.25">
      <c r="A41" s="24" t="s">
        <v>53</v>
      </c>
    </row>
    <row r="42" spans="1:30" ht="14.4" x14ac:dyDescent="0.3">
      <c r="A42" s="25" t="s">
        <v>54</v>
      </c>
      <c r="B42" s="9">
        <v>7.85E-2</v>
      </c>
      <c r="C42" s="26" t="s">
        <v>14</v>
      </c>
      <c r="D42" s="26"/>
      <c r="E42" s="26"/>
    </row>
    <row r="43" spans="1:30" x14ac:dyDescent="0.25">
      <c r="A43" s="25" t="s">
        <v>55</v>
      </c>
      <c r="B43" s="27">
        <f>(B42*(1+B42)^B12)/((1+B42)^B12-1)</f>
        <v>0.10071794368308355</v>
      </c>
      <c r="C43" s="26" t="s">
        <v>14</v>
      </c>
      <c r="D43" s="26"/>
      <c r="E43" s="26"/>
    </row>
    <row r="44" spans="1:30" x14ac:dyDescent="0.25">
      <c r="A44" s="25" t="s">
        <v>56</v>
      </c>
      <c r="B44" s="27">
        <f>B43+B15</f>
        <v>0.12071794368308356</v>
      </c>
      <c r="C44" s="26" t="s">
        <v>14</v>
      </c>
      <c r="D44" s="26"/>
      <c r="E44" s="26"/>
    </row>
    <row r="45" spans="1:30" x14ac:dyDescent="0.25">
      <c r="A45" s="28" t="s">
        <v>57</v>
      </c>
      <c r="B45" s="22">
        <f>(B24-B25/(1+B9)^B12)*B44/(B3*B4*365*24)+B14</f>
        <v>2.2348280859025405E-2</v>
      </c>
      <c r="C45" s="29" t="s">
        <v>35</v>
      </c>
      <c r="D45" s="29"/>
      <c r="E45" s="29"/>
    </row>
    <row r="46" spans="1:30" x14ac:dyDescent="0.25">
      <c r="A46" s="30"/>
      <c r="B46" s="22">
        <f>(B24-B25/(1+B42)^B12)*B44/(B3*B4*365*24)+B14</f>
        <v>2.2267278597700554E-2</v>
      </c>
      <c r="C46" s="29"/>
      <c r="D46" s="31"/>
      <c r="E46" s="31"/>
    </row>
    <row r="47" spans="1:30" x14ac:dyDescent="0.25">
      <c r="B47" s="22">
        <f>(B24-B25/(1+B9)^B12)*B44/(B3*B4*365*24)+B14</f>
        <v>2.2348280859025405E-2</v>
      </c>
      <c r="C47" s="29" t="s">
        <v>35</v>
      </c>
      <c r="U47" s="47"/>
      <c r="X47" s="244">
        <f>IRR(X49:X89)</f>
        <v>0.67322359179965874</v>
      </c>
      <c r="Y47" s="41"/>
      <c r="AD47" s="69"/>
    </row>
    <row r="48" spans="1:30" ht="52.8" x14ac:dyDescent="0.25">
      <c r="A48" s="32" t="s">
        <v>58</v>
      </c>
      <c r="B48" s="33" t="s">
        <v>59</v>
      </c>
      <c r="C48" s="33" t="s">
        <v>60</v>
      </c>
      <c r="D48" s="34" t="s">
        <v>61</v>
      </c>
      <c r="E48" s="34" t="s">
        <v>62</v>
      </c>
      <c r="F48" s="33" t="s">
        <v>63</v>
      </c>
      <c r="G48" s="45" t="s">
        <v>64</v>
      </c>
      <c r="H48" s="45" t="s">
        <v>65</v>
      </c>
      <c r="I48" s="33" t="s">
        <v>66</v>
      </c>
      <c r="J48" s="33" t="s">
        <v>67</v>
      </c>
      <c r="K48" s="33" t="s">
        <v>68</v>
      </c>
      <c r="L48" s="45" t="s">
        <v>82</v>
      </c>
      <c r="M48" s="33" t="s">
        <v>69</v>
      </c>
      <c r="N48" s="33" t="s">
        <v>70</v>
      </c>
      <c r="O48" s="33" t="s">
        <v>71</v>
      </c>
      <c r="P48" s="34" t="s">
        <v>72</v>
      </c>
      <c r="Q48" s="45" t="s">
        <v>83</v>
      </c>
      <c r="R48" s="33" t="s">
        <v>73</v>
      </c>
      <c r="S48" s="33" t="s">
        <v>74</v>
      </c>
      <c r="T48" s="46" t="s">
        <v>75</v>
      </c>
      <c r="U48" s="42" t="s">
        <v>242</v>
      </c>
      <c r="V48" s="43" t="s">
        <v>243</v>
      </c>
      <c r="W48" s="42" t="s">
        <v>78</v>
      </c>
      <c r="X48" s="42" t="s">
        <v>244</v>
      </c>
      <c r="Y48" s="43" t="s">
        <v>245</v>
      </c>
      <c r="Z48" s="42" t="s">
        <v>271</v>
      </c>
    </row>
    <row r="49" spans="1:26" ht="14.4" x14ac:dyDescent="0.3">
      <c r="A49" s="35">
        <v>0</v>
      </c>
      <c r="B49" s="44">
        <f>1/(1+Geo_DCF!$B$9)^A49</f>
        <v>1</v>
      </c>
      <c r="C49" s="35"/>
      <c r="D49" s="36"/>
      <c r="E49" s="36"/>
      <c r="F49" s="35"/>
      <c r="G49" s="39"/>
      <c r="H49" s="39"/>
      <c r="I49" s="35">
        <v>0</v>
      </c>
      <c r="J49" s="37"/>
      <c r="K49" s="35"/>
      <c r="L49" s="39"/>
      <c r="M49" s="35"/>
      <c r="N49" s="35"/>
      <c r="O49" s="35"/>
      <c r="P49" s="35"/>
      <c r="Q49" s="39"/>
      <c r="R49" s="35"/>
      <c r="S49" s="35"/>
      <c r="T49" s="39"/>
      <c r="U49" s="40">
        <f>-$B$27+IF(AND(E49=1,E50=0),$B$25,0)</f>
        <v>-2176000</v>
      </c>
      <c r="V49" s="38">
        <f>U49*B49</f>
        <v>-2176000</v>
      </c>
      <c r="W49" s="40">
        <f>Baseline_DCF!U49</f>
        <v>0</v>
      </c>
      <c r="X49" s="40">
        <f>V49-W49</f>
        <v>-2176000</v>
      </c>
      <c r="Y49" s="38">
        <f>X49*B49</f>
        <v>-2176000</v>
      </c>
      <c r="Z49" s="40">
        <f>-U49</f>
        <v>2176000</v>
      </c>
    </row>
    <row r="50" spans="1:26" ht="14.4" x14ac:dyDescent="0.3">
      <c r="A50" s="35">
        <f>A49+1</f>
        <v>1</v>
      </c>
      <c r="B50" s="44">
        <f>1/(1+Geo_DCF!$B$9)^A50</f>
        <v>0.90909090909090906</v>
      </c>
      <c r="C50" s="36">
        <f>IF(A50&lt;(Geo_DCF!$B$7+1),1,0)</f>
        <v>1</v>
      </c>
      <c r="D50" s="36">
        <f>IF(A50&lt;(Geo_DCF!$B$11+1),1,0)</f>
        <v>1</v>
      </c>
      <c r="E50" s="36">
        <f>IF(A50&lt;(Geo_DCF!$B$12+1),1,0)</f>
        <v>1</v>
      </c>
      <c r="F50" s="37">
        <f xml:space="preserve"> -Geo_DCF!$B$33*D50</f>
        <v>-362666.66666666669</v>
      </c>
      <c r="G50" s="40">
        <f>-F50*Geo_DCF!$B$10</f>
        <v>0</v>
      </c>
      <c r="H50" s="40">
        <f>-Geo_DCF!$B$29*C50</f>
        <v>-475518.86711886333</v>
      </c>
      <c r="I50" s="37">
        <f>Geo_DCF!B26</f>
        <v>3264000</v>
      </c>
      <c r="J50" s="37">
        <f t="shared" ref="J50:J89" si="0">I50+H50-K50</f>
        <v>3033281.1328811366</v>
      </c>
      <c r="K50" s="37">
        <f>-I50*Geo_DCF!$B$8</f>
        <v>-244800</v>
      </c>
      <c r="L50" s="40">
        <f>-(K50*Geo_DCF!$B$10)</f>
        <v>0</v>
      </c>
      <c r="M50" s="37">
        <f>-Geo_DCF!$B$15*Geo_DCF!$B$24*E50*(1+Geo_DCF!$B$16)^A50</f>
        <v>-111519.99999999999</v>
      </c>
      <c r="N50" s="37">
        <f>M50*Geo_DCF!$B$10</f>
        <v>0</v>
      </c>
      <c r="O50" s="37">
        <f>-E50*Geo_DCF!$D$23*Geo_DCF!$B$14*(1+Geo_DCF!$B$16)^A50</f>
        <v>0</v>
      </c>
      <c r="P50" s="37">
        <f>O50*Geo_DCF!$B$10</f>
        <v>0</v>
      </c>
      <c r="Q50" s="40">
        <f>(M50+O50-N50-P50)</f>
        <v>-111519.99999999999</v>
      </c>
      <c r="R50" s="37">
        <f>-E50*Geo_DCF!$B$22*(1+Geo_DCF!$B$18)^(Geo_DCF!A50)</f>
        <v>-71337.089511970364</v>
      </c>
      <c r="S50" s="37">
        <f>-R50*Geo_DCF!$B$10</f>
        <v>0</v>
      </c>
      <c r="T50" s="40">
        <f>R50+S50</f>
        <v>-71337.089511970364</v>
      </c>
      <c r="U50" s="40">
        <f>G50+H50+L50+Q50+T50+IF(AND(E50=1,E51=0),$B$25,0)</f>
        <v>-658375.95663083368</v>
      </c>
      <c r="V50" s="38">
        <f t="shared" ref="V50:V89" si="1">U50*B50</f>
        <v>-598523.59693712147</v>
      </c>
      <c r="W50" s="40">
        <f>Baseline_DCF!U50</f>
        <v>-1921874.9999999998</v>
      </c>
      <c r="X50" s="40">
        <f>V50-W50</f>
        <v>1323351.4030628782</v>
      </c>
      <c r="Y50" s="38">
        <f t="shared" ref="Y50:Y89" si="2">X50*B50</f>
        <v>1203046.730057162</v>
      </c>
      <c r="Z50" s="40">
        <f t="shared" ref="Z50:Z89" si="3">-U50</f>
        <v>658375.95663083368</v>
      </c>
    </row>
    <row r="51" spans="1:26" ht="14.4" x14ac:dyDescent="0.3">
      <c r="A51" s="35">
        <f t="shared" ref="A51:A89" si="4">A50+1</f>
        <v>2</v>
      </c>
      <c r="B51" s="44">
        <f>1/(1+Geo_DCF!$B$9)^A51</f>
        <v>0.82644628099173545</v>
      </c>
      <c r="C51" s="36">
        <f>IF(A51&lt;(Geo_DCF!$B$7+1),1,0)</f>
        <v>1</v>
      </c>
      <c r="D51" s="36">
        <f>IF(A51&lt;(Geo_DCF!$B$11+1),1,0)</f>
        <v>1</v>
      </c>
      <c r="E51" s="36">
        <f>IF(A51&lt;(Geo_DCF!$B$12+1),1,0)</f>
        <v>1</v>
      </c>
      <c r="F51" s="37">
        <f xml:space="preserve"> -Geo_DCF!$B$33*D51</f>
        <v>-362666.66666666669</v>
      </c>
      <c r="G51" s="40">
        <f>-F51*Geo_DCF!$B$10</f>
        <v>0</v>
      </c>
      <c r="H51" s="40">
        <f>-Geo_DCF!$B$29*C51</f>
        <v>-475518.86711886333</v>
      </c>
      <c r="I51" s="37">
        <f>J50</f>
        <v>3033281.1328811366</v>
      </c>
      <c r="J51" s="37">
        <f t="shared" si="0"/>
        <v>2785258.3507283586</v>
      </c>
      <c r="K51" s="37">
        <f>-I51*Geo_DCF!$B$8</f>
        <v>-227496.08496608524</v>
      </c>
      <c r="L51" s="40">
        <f>-(K51*Geo_DCF!$B$10)</f>
        <v>0</v>
      </c>
      <c r="M51" s="37">
        <f>-Geo_DCF!$B$15*Geo_DCF!$B$24*E51*(1+Geo_DCF!$B$16)^A51</f>
        <v>-114307.99999999999</v>
      </c>
      <c r="N51" s="37">
        <f>M51*Geo_DCF!$B$10</f>
        <v>0</v>
      </c>
      <c r="O51" s="37">
        <f>-E51*Geo_DCF!$D$23*Geo_DCF!$B$14*(1+Geo_DCF!$B$16)^A51</f>
        <v>0</v>
      </c>
      <c r="P51" s="37">
        <f>O51*Geo_DCF!$B$10</f>
        <v>0</v>
      </c>
      <c r="Q51" s="40">
        <f t="shared" ref="Q51:Q89" si="5">(M51+O51-N51-P51)</f>
        <v>-114307.99999999999</v>
      </c>
      <c r="R51" s="37">
        <f>-E51*Geo_DCF!$B$22*(1+Geo_DCF!$B$18)^(Geo_DCF!A51)</f>
        <v>-73120.516749769624</v>
      </c>
      <c r="S51" s="37">
        <f>-R51*Geo_DCF!$B$10</f>
        <v>0</v>
      </c>
      <c r="T51" s="40">
        <f t="shared" ref="T51:T89" si="6">R51+S51</f>
        <v>-73120.516749769624</v>
      </c>
      <c r="U51" s="40">
        <f t="shared" ref="U51:U89" si="7">G51+H51+L51+Q51+T51+IF(AND(E51=1,E52=0),$B$25,0)</f>
        <v>-662947.38386863284</v>
      </c>
      <c r="V51" s="38">
        <f t="shared" si="1"/>
        <v>-547890.39989143203</v>
      </c>
      <c r="W51" s="40">
        <f>Baseline_DCF!U51</f>
        <v>-1969921.8749999998</v>
      </c>
      <c r="X51" s="40">
        <f t="shared" ref="X51:X89" si="8">V51-W51</f>
        <v>1422031.4751085676</v>
      </c>
      <c r="Y51" s="38">
        <f t="shared" si="2"/>
        <v>1175232.6240566673</v>
      </c>
      <c r="Z51" s="40">
        <f t="shared" si="3"/>
        <v>662947.38386863284</v>
      </c>
    </row>
    <row r="52" spans="1:26" ht="14.4" x14ac:dyDescent="0.3">
      <c r="A52" s="35">
        <f t="shared" si="4"/>
        <v>3</v>
      </c>
      <c r="B52" s="44">
        <f>1/(1+Geo_DCF!$B$9)^A52</f>
        <v>0.75131480090157754</v>
      </c>
      <c r="C52" s="36">
        <f>IF(A52&lt;(Geo_DCF!$B$7+1),1,0)</f>
        <v>1</v>
      </c>
      <c r="D52" s="36">
        <f>IF(A52&lt;(Geo_DCF!$B$11+1),1,0)</f>
        <v>1</v>
      </c>
      <c r="E52" s="36">
        <f>IF(A52&lt;(Geo_DCF!$B$12+1),1,0)</f>
        <v>1</v>
      </c>
      <c r="F52" s="37">
        <f xml:space="preserve"> -Geo_DCF!$B$33*D52</f>
        <v>-362666.66666666669</v>
      </c>
      <c r="G52" s="40">
        <f>-F52*Geo_DCF!$B$10</f>
        <v>0</v>
      </c>
      <c r="H52" s="40">
        <f>-Geo_DCF!$B$29*C52</f>
        <v>-475518.86711886333</v>
      </c>
      <c r="I52" s="37">
        <f t="shared" ref="I52:I64" si="9">J51</f>
        <v>2785258.3507283586</v>
      </c>
      <c r="J52" s="37">
        <f t="shared" si="0"/>
        <v>2518633.8599141221</v>
      </c>
      <c r="K52" s="37">
        <f>-I52*Geo_DCF!$B$8</f>
        <v>-208894.3763046269</v>
      </c>
      <c r="L52" s="40">
        <f>-(K52*Geo_DCF!$B$10)</f>
        <v>0</v>
      </c>
      <c r="M52" s="37">
        <f>-Geo_DCF!$B$15*Geo_DCF!$B$24*E52*(1+Geo_DCF!$B$16)^A52</f>
        <v>-117165.69999999998</v>
      </c>
      <c r="N52" s="37">
        <f>M52*Geo_DCF!$B$10</f>
        <v>0</v>
      </c>
      <c r="O52" s="37">
        <f>-E52*Geo_DCF!$D$23*Geo_DCF!$B$14*(1+Geo_DCF!$B$16)^A52</f>
        <v>0</v>
      </c>
      <c r="P52" s="37">
        <f>O52*Geo_DCF!$B$10</f>
        <v>0</v>
      </c>
      <c r="Q52" s="40">
        <f t="shared" si="5"/>
        <v>-117165.69999999998</v>
      </c>
      <c r="R52" s="37">
        <f>-E52*Geo_DCF!$B$22*(1+Geo_DCF!$B$18)^(Geo_DCF!A52)</f>
        <v>-74948.52966851386</v>
      </c>
      <c r="S52" s="37">
        <f>-R52*Geo_DCF!$B$10</f>
        <v>0</v>
      </c>
      <c r="T52" s="40">
        <f t="shared" si="6"/>
        <v>-74948.52966851386</v>
      </c>
      <c r="U52" s="40">
        <f t="shared" si="7"/>
        <v>-667633.09678737726</v>
      </c>
      <c r="V52" s="38">
        <f t="shared" si="1"/>
        <v>-501602.627188112</v>
      </c>
      <c r="W52" s="40">
        <f>Baseline_DCF!U52</f>
        <v>-2019169.9218749998</v>
      </c>
      <c r="X52" s="40">
        <f t="shared" si="8"/>
        <v>1517567.2946868879</v>
      </c>
      <c r="Y52" s="38">
        <f t="shared" si="2"/>
        <v>1140170.7698624248</v>
      </c>
      <c r="Z52" s="40">
        <f t="shared" si="3"/>
        <v>667633.09678737726</v>
      </c>
    </row>
    <row r="53" spans="1:26" ht="14.4" x14ac:dyDescent="0.3">
      <c r="A53" s="35">
        <f t="shared" si="4"/>
        <v>4</v>
      </c>
      <c r="B53" s="44">
        <f>1/(1+Geo_DCF!$B$9)^A53</f>
        <v>0.68301345536507052</v>
      </c>
      <c r="C53" s="36">
        <f>IF(A53&lt;(Geo_DCF!$B$7+1),1,0)</f>
        <v>1</v>
      </c>
      <c r="D53" s="36">
        <f>IF(A53&lt;(Geo_DCF!$B$11+1),1,0)</f>
        <v>1</v>
      </c>
      <c r="E53" s="36">
        <f>IF(A53&lt;(Geo_DCF!$B$12+1),1,0)</f>
        <v>1</v>
      </c>
      <c r="F53" s="37">
        <f xml:space="preserve"> -Geo_DCF!$B$33*D53</f>
        <v>-362666.66666666669</v>
      </c>
      <c r="G53" s="40">
        <f>-F53*Geo_DCF!$B$10</f>
        <v>0</v>
      </c>
      <c r="H53" s="40">
        <f>-Geo_DCF!$B$29*C53</f>
        <v>-475518.86711886333</v>
      </c>
      <c r="I53" s="37">
        <f t="shared" si="9"/>
        <v>2518633.8599141221</v>
      </c>
      <c r="J53" s="37">
        <f t="shared" si="0"/>
        <v>2232012.5322888177</v>
      </c>
      <c r="K53" s="37">
        <f>-I53*Geo_DCF!$B$8</f>
        <v>-188897.53949355916</v>
      </c>
      <c r="L53" s="40">
        <f>-(K53*Geo_DCF!$B$10)</f>
        <v>0</v>
      </c>
      <c r="M53" s="37">
        <f>-Geo_DCF!$B$15*Geo_DCF!$B$24*E53*(1+Geo_DCF!$B$16)^A53</f>
        <v>-120094.84249999997</v>
      </c>
      <c r="N53" s="37">
        <f>M53*Geo_DCF!$B$10</f>
        <v>0</v>
      </c>
      <c r="O53" s="37">
        <f>-E53*Geo_DCF!$D$23*Geo_DCF!$B$14*(1+Geo_DCF!$B$16)^A53</f>
        <v>0</v>
      </c>
      <c r="P53" s="37">
        <f>O53*Geo_DCF!$B$10</f>
        <v>0</v>
      </c>
      <c r="Q53" s="40">
        <f t="shared" si="5"/>
        <v>-120094.84249999997</v>
      </c>
      <c r="R53" s="37">
        <f>-E53*Geo_DCF!$B$22*(1+Geo_DCF!$B$18)^(Geo_DCF!A53)</f>
        <v>-76822.242910226705</v>
      </c>
      <c r="S53" s="37">
        <f>-R53*Geo_DCF!$B$10</f>
        <v>0</v>
      </c>
      <c r="T53" s="40">
        <f t="shared" si="6"/>
        <v>-76822.242910226705</v>
      </c>
      <c r="U53" s="40">
        <f t="shared" si="7"/>
        <v>-672435.95252908999</v>
      </c>
      <c r="V53" s="38">
        <f t="shared" si="1"/>
        <v>-459282.80344859627</v>
      </c>
      <c r="W53" s="40">
        <f>Baseline_DCF!U53</f>
        <v>-2069649.1699218745</v>
      </c>
      <c r="X53" s="40">
        <f t="shared" si="8"/>
        <v>1610366.3664732783</v>
      </c>
      <c r="Y53" s="38">
        <f t="shared" si="2"/>
        <v>1099901.8963686072</v>
      </c>
      <c r="Z53" s="40">
        <f t="shared" si="3"/>
        <v>672435.95252908999</v>
      </c>
    </row>
    <row r="54" spans="1:26" ht="14.4" x14ac:dyDescent="0.3">
      <c r="A54" s="35">
        <f t="shared" si="4"/>
        <v>5</v>
      </c>
      <c r="B54" s="44">
        <f>1/(1+Geo_DCF!$B$9)^A54</f>
        <v>0.62092132305915493</v>
      </c>
      <c r="C54" s="36">
        <f>IF(A54&lt;(Geo_DCF!$B$7+1),1,0)</f>
        <v>1</v>
      </c>
      <c r="D54" s="36">
        <f>IF(A54&lt;(Geo_DCF!$B$11+1),1,0)</f>
        <v>1</v>
      </c>
      <c r="E54" s="36">
        <f>IF(A54&lt;(Geo_DCF!$B$12+1),1,0)</f>
        <v>1</v>
      </c>
      <c r="F54" s="37">
        <f xml:space="preserve"> -Geo_DCF!$B$33*D54</f>
        <v>-362666.66666666669</v>
      </c>
      <c r="G54" s="40">
        <f>-F54*Geo_DCF!$B$10</f>
        <v>0</v>
      </c>
      <c r="H54" s="40">
        <f>-Geo_DCF!$B$29*C54</f>
        <v>-475518.86711886333</v>
      </c>
      <c r="I54" s="37">
        <f t="shared" si="9"/>
        <v>2232012.5322888177</v>
      </c>
      <c r="J54" s="37">
        <f t="shared" si="0"/>
        <v>1923894.6050916156</v>
      </c>
      <c r="K54" s="37">
        <f>-I54*Geo_DCF!$B$8</f>
        <v>-167400.93992166131</v>
      </c>
      <c r="L54" s="40">
        <f>-(K54*Geo_DCF!$B$10)</f>
        <v>0</v>
      </c>
      <c r="M54" s="37">
        <f>-Geo_DCF!$B$15*Geo_DCF!$B$24*E54*(1+Geo_DCF!$B$16)^A54</f>
        <v>-123097.21356249996</v>
      </c>
      <c r="N54" s="37">
        <f>M54*Geo_DCF!$B$10</f>
        <v>0</v>
      </c>
      <c r="O54" s="37">
        <f>-E54*Geo_DCF!$D$23*Geo_DCF!$B$14*(1+Geo_DCF!$B$16)^A54</f>
        <v>0</v>
      </c>
      <c r="P54" s="37">
        <f>O54*Geo_DCF!$B$10</f>
        <v>0</v>
      </c>
      <c r="Q54" s="40">
        <f t="shared" si="5"/>
        <v>-123097.21356249996</v>
      </c>
      <c r="R54" s="37">
        <f>-E54*Geo_DCF!$B$22*(1+Geo_DCF!$B$18)^(Geo_DCF!A54)</f>
        <v>-78742.798982982364</v>
      </c>
      <c r="S54" s="37">
        <f>-R54*Geo_DCF!$B$10</f>
        <v>0</v>
      </c>
      <c r="T54" s="40">
        <f t="shared" si="6"/>
        <v>-78742.798982982364</v>
      </c>
      <c r="U54" s="40">
        <f t="shared" si="7"/>
        <v>-677358.87966434576</v>
      </c>
      <c r="V54" s="38">
        <f t="shared" si="1"/>
        <v>-420586.57174705248</v>
      </c>
      <c r="W54" s="40">
        <f>Baseline_DCF!U54</f>
        <v>-2121390.3991699214</v>
      </c>
      <c r="X54" s="40">
        <f t="shared" si="8"/>
        <v>1700803.8274228689</v>
      </c>
      <c r="Y54" s="38">
        <f t="shared" si="2"/>
        <v>1056065.3627874823</v>
      </c>
      <c r="Z54" s="40">
        <f t="shared" si="3"/>
        <v>677358.87966434576</v>
      </c>
    </row>
    <row r="55" spans="1:26" ht="14.4" x14ac:dyDescent="0.3">
      <c r="A55" s="35">
        <f t="shared" si="4"/>
        <v>6</v>
      </c>
      <c r="B55" s="44">
        <f>1/(1+Geo_DCF!$B$9)^A55</f>
        <v>0.56447393005377722</v>
      </c>
      <c r="C55" s="36">
        <f>IF(A55&lt;(Geo_DCF!$B$7+1),1,0)</f>
        <v>1</v>
      </c>
      <c r="D55" s="36">
        <f>IF(A55&lt;(Geo_DCF!$B$11+1),1,0)</f>
        <v>1</v>
      </c>
      <c r="E55" s="36">
        <f>IF(A55&lt;(Geo_DCF!$B$12+1),1,0)</f>
        <v>1</v>
      </c>
      <c r="F55" s="37">
        <f xml:space="preserve"> -Geo_DCF!$B$33*D55</f>
        <v>-362666.66666666669</v>
      </c>
      <c r="G55" s="40">
        <f>-F55*Geo_DCF!$B$10</f>
        <v>0</v>
      </c>
      <c r="H55" s="40">
        <f>-Geo_DCF!$B$29*C55</f>
        <v>-475518.86711886333</v>
      </c>
      <c r="I55" s="37">
        <f t="shared" si="9"/>
        <v>1923894.6050916156</v>
      </c>
      <c r="J55" s="37">
        <f t="shared" si="0"/>
        <v>1592667.8333546233</v>
      </c>
      <c r="K55" s="37">
        <f>-I55*Geo_DCF!$B$8</f>
        <v>-144292.09538187116</v>
      </c>
      <c r="L55" s="40">
        <f>-(K55*Geo_DCF!$B$10)</f>
        <v>0</v>
      </c>
      <c r="M55" s="37">
        <f>-Geo_DCF!$B$15*Geo_DCF!$B$24*E55*(1+Geo_DCF!$B$16)^A55</f>
        <v>-126174.64390156245</v>
      </c>
      <c r="N55" s="37">
        <f>M55*Geo_DCF!$B$10</f>
        <v>0</v>
      </c>
      <c r="O55" s="37">
        <f>-E55*Geo_DCF!$D$23*Geo_DCF!$B$14*(1+Geo_DCF!$B$16)^A55</f>
        <v>0</v>
      </c>
      <c r="P55" s="37">
        <f>O55*Geo_DCF!$B$10</f>
        <v>0</v>
      </c>
      <c r="Q55" s="40">
        <f t="shared" si="5"/>
        <v>-126174.64390156245</v>
      </c>
      <c r="R55" s="37">
        <f>-E55*Geo_DCF!$B$22*(1+Geo_DCF!$B$18)^(Geo_DCF!A55)</f>
        <v>-80711.368957556915</v>
      </c>
      <c r="S55" s="37">
        <f>-R55*Geo_DCF!$B$10</f>
        <v>0</v>
      </c>
      <c r="T55" s="40">
        <f t="shared" si="6"/>
        <v>-80711.368957556915</v>
      </c>
      <c r="U55" s="40">
        <f t="shared" si="7"/>
        <v>-682404.87997798272</v>
      </c>
      <c r="V55" s="38">
        <f t="shared" si="1"/>
        <v>-385199.76448904804</v>
      </c>
      <c r="W55" s="40">
        <f>Baseline_DCF!U55</f>
        <v>-2174425.159149169</v>
      </c>
      <c r="X55" s="40">
        <f t="shared" si="8"/>
        <v>1789225.3946601208</v>
      </c>
      <c r="Y55" s="38">
        <f t="shared" si="2"/>
        <v>1009971.0902758189</v>
      </c>
      <c r="Z55" s="40">
        <f t="shared" si="3"/>
        <v>682404.87997798272</v>
      </c>
    </row>
    <row r="56" spans="1:26" ht="14.4" x14ac:dyDescent="0.3">
      <c r="A56" s="35">
        <f t="shared" si="4"/>
        <v>7</v>
      </c>
      <c r="B56" s="44">
        <f>1/(1+Geo_DCF!$B$9)^A56</f>
        <v>0.51315811823070645</v>
      </c>
      <c r="C56" s="36">
        <f>IF(A56&lt;(Geo_DCF!$B$7+1),1,0)</f>
        <v>1</v>
      </c>
      <c r="D56" s="36">
        <f>IF(A56&lt;(Geo_DCF!$B$11+1),1,0)</f>
        <v>1</v>
      </c>
      <c r="E56" s="36">
        <f>IF(A56&lt;(Geo_DCF!$B$12+1),1,0)</f>
        <v>1</v>
      </c>
      <c r="F56" s="37">
        <f xml:space="preserve"> -Geo_DCF!$B$33*D56</f>
        <v>-362666.66666666669</v>
      </c>
      <c r="G56" s="40">
        <f>-F56*Geo_DCF!$B$10</f>
        <v>0</v>
      </c>
      <c r="H56" s="40">
        <f>-Geo_DCF!$B$29*C56</f>
        <v>-475518.86711886333</v>
      </c>
      <c r="I56" s="37">
        <f t="shared" si="9"/>
        <v>1592667.8333546233</v>
      </c>
      <c r="J56" s="37">
        <f t="shared" si="0"/>
        <v>1236599.0537373566</v>
      </c>
      <c r="K56" s="37">
        <f>-I56*Geo_DCF!$B$8</f>
        <v>-119450.08750159675</v>
      </c>
      <c r="L56" s="40">
        <f>-(K56*Geo_DCF!$B$10)</f>
        <v>0</v>
      </c>
      <c r="M56" s="37">
        <f>-Geo_DCF!$B$15*Geo_DCF!$B$24*E56*(1+Geo_DCF!$B$16)^A56</f>
        <v>-129329.00999910152</v>
      </c>
      <c r="N56" s="37">
        <f>M56*Geo_DCF!$B$10</f>
        <v>0</v>
      </c>
      <c r="O56" s="37">
        <f>-E56*Geo_DCF!$D$23*Geo_DCF!$B$14*(1+Geo_DCF!$B$16)^A56</f>
        <v>0</v>
      </c>
      <c r="P56" s="37">
        <f>O56*Geo_DCF!$B$10</f>
        <v>0</v>
      </c>
      <c r="Q56" s="40">
        <f t="shared" si="5"/>
        <v>-129329.00999910152</v>
      </c>
      <c r="R56" s="37">
        <f>-E56*Geo_DCF!$B$22*(1+Geo_DCF!$B$18)^(Geo_DCF!A56)</f>
        <v>-82729.153181495843</v>
      </c>
      <c r="S56" s="37">
        <f>-R56*Geo_DCF!$B$10</f>
        <v>0</v>
      </c>
      <c r="T56" s="40">
        <f t="shared" si="6"/>
        <v>-82729.153181495843</v>
      </c>
      <c r="U56" s="40">
        <f t="shared" si="7"/>
        <v>-687577.03029946075</v>
      </c>
      <c r="V56" s="38">
        <f t="shared" si="1"/>
        <v>-352835.73500712874</v>
      </c>
      <c r="W56" s="40">
        <f>Baseline_DCF!U56</f>
        <v>-2228785.7881278982</v>
      </c>
      <c r="X56" s="40">
        <f t="shared" si="8"/>
        <v>1875950.0531207696</v>
      </c>
      <c r="Y56" s="38">
        <f t="shared" si="2"/>
        <v>962658.99915424793</v>
      </c>
      <c r="Z56" s="40">
        <f t="shared" si="3"/>
        <v>687577.03029946075</v>
      </c>
    </row>
    <row r="57" spans="1:26" ht="14.4" x14ac:dyDescent="0.3">
      <c r="A57" s="35">
        <f t="shared" si="4"/>
        <v>8</v>
      </c>
      <c r="B57" s="44">
        <f>1/(1+Geo_DCF!$B$9)^A57</f>
        <v>0.46650738020973315</v>
      </c>
      <c r="C57" s="36">
        <f>IF(A57&lt;(Geo_DCF!$B$7+1),1,0)</f>
        <v>1</v>
      </c>
      <c r="D57" s="36">
        <f>IF(A57&lt;(Geo_DCF!$B$11+1),1,0)</f>
        <v>1</v>
      </c>
      <c r="E57" s="36">
        <f>IF(A57&lt;(Geo_DCF!$B$12+1),1,0)</f>
        <v>1</v>
      </c>
      <c r="F57" s="37">
        <f xml:space="preserve"> -Geo_DCF!$B$33*D57</f>
        <v>-362666.66666666669</v>
      </c>
      <c r="G57" s="40">
        <f>-F57*Geo_DCF!$B$10</f>
        <v>0</v>
      </c>
      <c r="H57" s="40">
        <f>-Geo_DCF!$B$29*C57</f>
        <v>-475518.86711886333</v>
      </c>
      <c r="I57" s="37">
        <f t="shared" si="9"/>
        <v>1236599.0537373566</v>
      </c>
      <c r="J57" s="37">
        <f t="shared" si="0"/>
        <v>853825.11564879492</v>
      </c>
      <c r="K57" s="37">
        <f>-I57*Geo_DCF!$B$8</f>
        <v>-92744.929030301733</v>
      </c>
      <c r="L57" s="40">
        <f>-(K57*Geo_DCF!$B$10)</f>
        <v>0</v>
      </c>
      <c r="M57" s="37">
        <f>-Geo_DCF!$B$15*Geo_DCF!$B$24*E57*(1+Geo_DCF!$B$16)^A57</f>
        <v>-132562.23524907904</v>
      </c>
      <c r="N57" s="37">
        <f>M57*Geo_DCF!$B$10</f>
        <v>0</v>
      </c>
      <c r="O57" s="37">
        <f>-E57*Geo_DCF!$D$23*Geo_DCF!$B$14*(1+Geo_DCF!$B$16)^A57</f>
        <v>0</v>
      </c>
      <c r="P57" s="37">
        <f>O57*Geo_DCF!$B$10</f>
        <v>0</v>
      </c>
      <c r="Q57" s="40">
        <f t="shared" si="5"/>
        <v>-132562.23524907904</v>
      </c>
      <c r="R57" s="37">
        <f>-E57*Geo_DCF!$B$22*(1+Geo_DCF!$B$18)^(Geo_DCF!A57)</f>
        <v>-84797.382011033231</v>
      </c>
      <c r="S57" s="37">
        <f>-R57*Geo_DCF!$B$10</f>
        <v>0</v>
      </c>
      <c r="T57" s="40">
        <f t="shared" si="6"/>
        <v>-84797.382011033231</v>
      </c>
      <c r="U57" s="40">
        <f t="shared" si="7"/>
        <v>-692878.48437897558</v>
      </c>
      <c r="V57" s="38">
        <f t="shared" si="1"/>
        <v>-323232.92655132641</v>
      </c>
      <c r="W57" s="40">
        <f>Baseline_DCF!U57</f>
        <v>-2284505.4328310955</v>
      </c>
      <c r="X57" s="40">
        <f t="shared" si="8"/>
        <v>1961272.5062797691</v>
      </c>
      <c r="Y57" s="38">
        <f t="shared" si="2"/>
        <v>914948.09878195252</v>
      </c>
      <c r="Z57" s="40">
        <f t="shared" si="3"/>
        <v>692878.48437897558</v>
      </c>
    </row>
    <row r="58" spans="1:26" ht="14.4" x14ac:dyDescent="0.3">
      <c r="A58" s="35">
        <f t="shared" si="4"/>
        <v>9</v>
      </c>
      <c r="B58" s="44">
        <f>1/(1+Geo_DCF!$B$9)^A58</f>
        <v>0.42409761837248466</v>
      </c>
      <c r="C58" s="36">
        <f>IF(A58&lt;(Geo_DCF!$B$7+1),1,0)</f>
        <v>1</v>
      </c>
      <c r="D58" s="36">
        <f>IF(A58&lt;(Geo_DCF!$B$11+1),1,0)</f>
        <v>1</v>
      </c>
      <c r="E58" s="36">
        <f>IF(A58&lt;(Geo_DCF!$B$12+1),1,0)</f>
        <v>1</v>
      </c>
      <c r="F58" s="37">
        <f xml:space="preserve"> -Geo_DCF!$B$33*D58</f>
        <v>-362666.66666666669</v>
      </c>
      <c r="G58" s="40">
        <f>-F58*Geo_DCF!$B$10</f>
        <v>0</v>
      </c>
      <c r="H58" s="40">
        <f>-Geo_DCF!$B$29*C58</f>
        <v>-475518.86711886333</v>
      </c>
      <c r="I58" s="37">
        <f t="shared" si="9"/>
        <v>853825.11564879492</v>
      </c>
      <c r="J58" s="37">
        <f t="shared" si="0"/>
        <v>442343.13220359117</v>
      </c>
      <c r="K58" s="37">
        <f>-I58*Geo_DCF!$B$8</f>
        <v>-64036.883673659613</v>
      </c>
      <c r="L58" s="40">
        <f>-(K58*Geo_DCF!$B$10)</f>
        <v>0</v>
      </c>
      <c r="M58" s="37">
        <f>-Geo_DCF!$B$15*Geo_DCF!$B$24*E58*(1+Geo_DCF!$B$16)^A58</f>
        <v>-135876.291130306</v>
      </c>
      <c r="N58" s="37">
        <f>M58*Geo_DCF!$B$10</f>
        <v>0</v>
      </c>
      <c r="O58" s="37">
        <f>-E58*Geo_DCF!$D$23*Geo_DCF!$B$14*(1+Geo_DCF!$B$16)^A58</f>
        <v>0</v>
      </c>
      <c r="P58" s="37">
        <f>O58*Geo_DCF!$B$10</f>
        <v>0</v>
      </c>
      <c r="Q58" s="40">
        <f t="shared" si="5"/>
        <v>-135876.291130306</v>
      </c>
      <c r="R58" s="37">
        <f>-E58*Geo_DCF!$B$22*(1+Geo_DCF!$B$18)^(Geo_DCF!A58)</f>
        <v>-86917.316561309053</v>
      </c>
      <c r="S58" s="37">
        <f>-R58*Geo_DCF!$B$10</f>
        <v>0</v>
      </c>
      <c r="T58" s="40">
        <f t="shared" si="6"/>
        <v>-86917.316561309053</v>
      </c>
      <c r="U58" s="40">
        <f t="shared" si="7"/>
        <v>-698312.47481047839</v>
      </c>
      <c r="V58" s="38">
        <f t="shared" si="1"/>
        <v>-296152.65744691959</v>
      </c>
      <c r="W58" s="40">
        <f>Baseline_DCF!U58</f>
        <v>-2341618.0686518727</v>
      </c>
      <c r="X58" s="40">
        <f t="shared" si="8"/>
        <v>2045465.4112049532</v>
      </c>
      <c r="Y58" s="38">
        <f t="shared" si="2"/>
        <v>867477.00935531571</v>
      </c>
      <c r="Z58" s="40">
        <f t="shared" si="3"/>
        <v>698312.47481047839</v>
      </c>
    </row>
    <row r="59" spans="1:26" ht="14.4" x14ac:dyDescent="0.3">
      <c r="A59" s="35">
        <f t="shared" si="4"/>
        <v>10</v>
      </c>
      <c r="B59" s="44">
        <f>1/(1+Geo_DCF!$B$9)^A59</f>
        <v>0.38554328942953148</v>
      </c>
      <c r="C59" s="36">
        <f>IF(A59&lt;(Geo_DCF!$B$7+1),1,0)</f>
        <v>1</v>
      </c>
      <c r="D59" s="36">
        <f>IF(A59&lt;(Geo_DCF!$B$11+1),1,0)</f>
        <v>1</v>
      </c>
      <c r="E59" s="36">
        <f>IF(A59&lt;(Geo_DCF!$B$12+1),1,0)</f>
        <v>1</v>
      </c>
      <c r="F59" s="37">
        <f xml:space="preserve"> -Geo_DCF!$B$33*D59</f>
        <v>-362666.66666666669</v>
      </c>
      <c r="G59" s="40">
        <f>-F59*Geo_DCF!$B$10</f>
        <v>0</v>
      </c>
      <c r="H59" s="40">
        <f>-Geo_DCF!$B$29*C59</f>
        <v>-475518.86711886333</v>
      </c>
      <c r="I59" s="37">
        <f t="shared" si="9"/>
        <v>442343.13220359117</v>
      </c>
      <c r="J59" s="37">
        <f t="shared" si="0"/>
        <v>-2.8230715543031693E-9</v>
      </c>
      <c r="K59" s="37">
        <f>-I59*Geo_DCF!$B$8</f>
        <v>-33175.734915269335</v>
      </c>
      <c r="L59" s="40">
        <f>-(K59*Geo_DCF!$B$10)</f>
        <v>0</v>
      </c>
      <c r="M59" s="37">
        <f>-Geo_DCF!$B$15*Geo_DCF!$B$24*E59*(1+Geo_DCF!$B$16)^A59</f>
        <v>-139273.19840856365</v>
      </c>
      <c r="N59" s="37">
        <f>M59*Geo_DCF!$B$10</f>
        <v>0</v>
      </c>
      <c r="O59" s="37">
        <f>-E59*Geo_DCF!$D$23*Geo_DCF!$B$14*(1+Geo_DCF!$B$16)^A59</f>
        <v>0</v>
      </c>
      <c r="P59" s="37">
        <f>O59*Geo_DCF!$B$10</f>
        <v>0</v>
      </c>
      <c r="Q59" s="40">
        <f t="shared" si="5"/>
        <v>-139273.19840856365</v>
      </c>
      <c r="R59" s="37">
        <f>-E59*Geo_DCF!$B$22*(1+Geo_DCF!$B$18)^(Geo_DCF!A59)</f>
        <v>-89090.24947534177</v>
      </c>
      <c r="S59" s="37">
        <f>-R59*Geo_DCF!$B$10</f>
        <v>0</v>
      </c>
      <c r="T59" s="40">
        <f t="shared" si="6"/>
        <v>-89090.24947534177</v>
      </c>
      <c r="U59" s="40">
        <f t="shared" si="7"/>
        <v>-703882.31500276877</v>
      </c>
      <c r="V59" s="38">
        <f t="shared" si="1"/>
        <v>-271377.10309744114</v>
      </c>
      <c r="W59" s="40">
        <f>Baseline_DCF!U59</f>
        <v>-2400158.5203681695</v>
      </c>
      <c r="X59" s="40">
        <f t="shared" si="8"/>
        <v>2128781.4172707284</v>
      </c>
      <c r="Y59" s="38">
        <f t="shared" si="2"/>
        <v>820737.39009101666</v>
      </c>
      <c r="Z59" s="40">
        <f t="shared" si="3"/>
        <v>703882.31500276877</v>
      </c>
    </row>
    <row r="60" spans="1:26" ht="14.4" x14ac:dyDescent="0.3">
      <c r="A60" s="35">
        <f t="shared" si="4"/>
        <v>11</v>
      </c>
      <c r="B60" s="44">
        <f>1/(1+Geo_DCF!$B$9)^A60</f>
        <v>0.3504938994813922</v>
      </c>
      <c r="C60" s="36">
        <f>IF(A60&lt;(Geo_DCF!$B$7+1),1,0)</f>
        <v>0</v>
      </c>
      <c r="D60" s="36">
        <f>IF(A60&lt;(Geo_DCF!$B$11+1),1,0)</f>
        <v>1</v>
      </c>
      <c r="E60" s="36">
        <f>IF(A60&lt;(Geo_DCF!$B$12+1),1,0)</f>
        <v>1</v>
      </c>
      <c r="F60" s="37">
        <f xml:space="preserve"> -Geo_DCF!$B$33*D60</f>
        <v>-362666.66666666669</v>
      </c>
      <c r="G60" s="40">
        <f>-F60*Geo_DCF!$B$10</f>
        <v>0</v>
      </c>
      <c r="H60" s="40">
        <f>-Geo_DCF!$B$29*C60</f>
        <v>0</v>
      </c>
      <c r="I60" s="37">
        <f t="shared" si="9"/>
        <v>-2.8230715543031693E-9</v>
      </c>
      <c r="J60" s="37">
        <f t="shared" si="0"/>
        <v>-3.0348019208759071E-9</v>
      </c>
      <c r="K60" s="37">
        <f>-I60*Geo_DCF!$B$8</f>
        <v>2.1173036657273768E-10</v>
      </c>
      <c r="L60" s="40">
        <f>-(K60*Geo_DCF!$B$10)</f>
        <v>0</v>
      </c>
      <c r="M60" s="37">
        <f>-Geo_DCF!$B$15*Geo_DCF!$B$24*E60*(1+Geo_DCF!$B$16)^A60</f>
        <v>-142755.02836877774</v>
      </c>
      <c r="N60" s="37">
        <f>M60*Geo_DCF!$B$10</f>
        <v>0</v>
      </c>
      <c r="O60" s="37">
        <f>-E60*Geo_DCF!$D$23*Geo_DCF!$B$14*(1+Geo_DCF!$B$16)^A60</f>
        <v>0</v>
      </c>
      <c r="P60" s="37">
        <f>O60*Geo_DCF!$B$10</f>
        <v>0</v>
      </c>
      <c r="Q60" s="40">
        <f t="shared" si="5"/>
        <v>-142755.02836877774</v>
      </c>
      <c r="R60" s="37">
        <f>-E60*Geo_DCF!$B$22*(1+Geo_DCF!$B$18)^(Geo_DCF!A60)</f>
        <v>-91317.50571222532</v>
      </c>
      <c r="S60" s="37">
        <f>-R60*Geo_DCF!$B$10</f>
        <v>0</v>
      </c>
      <c r="T60" s="40">
        <f t="shared" si="6"/>
        <v>-91317.50571222532</v>
      </c>
      <c r="U60" s="40">
        <f t="shared" si="7"/>
        <v>-234072.53408100305</v>
      </c>
      <c r="V60" s="38">
        <f t="shared" si="1"/>
        <v>-82040.995231541834</v>
      </c>
      <c r="W60" s="40">
        <f>Baseline_DCF!U60</f>
        <v>-2460162.4833773738</v>
      </c>
      <c r="X60" s="40">
        <f t="shared" si="8"/>
        <v>2378121.488145832</v>
      </c>
      <c r="Y60" s="38">
        <f t="shared" si="2"/>
        <v>833517.07382072404</v>
      </c>
      <c r="Z60" s="40">
        <f t="shared" si="3"/>
        <v>234072.53408100305</v>
      </c>
    </row>
    <row r="61" spans="1:26" ht="14.4" x14ac:dyDescent="0.3">
      <c r="A61" s="35">
        <f t="shared" si="4"/>
        <v>12</v>
      </c>
      <c r="B61" s="44">
        <f>1/(1+Geo_DCF!$B$9)^A61</f>
        <v>0.31863081771035656</v>
      </c>
      <c r="C61" s="36">
        <f>IF(A61&lt;(Geo_DCF!$B$7+1),1,0)</f>
        <v>0</v>
      </c>
      <c r="D61" s="36">
        <f>IF(A61&lt;(Geo_DCF!$B$11+1),1,0)</f>
        <v>1</v>
      </c>
      <c r="E61" s="36">
        <f>IF(A61&lt;(Geo_DCF!$B$12+1),1,0)</f>
        <v>1</v>
      </c>
      <c r="F61" s="37">
        <f xml:space="preserve"> -Geo_DCF!$B$33*D61</f>
        <v>-362666.66666666669</v>
      </c>
      <c r="G61" s="40">
        <f>-F61*Geo_DCF!$B$10</f>
        <v>0</v>
      </c>
      <c r="H61" s="40">
        <f>-Geo_DCF!$B$29*C61</f>
        <v>0</v>
      </c>
      <c r="I61" s="37">
        <f t="shared" si="9"/>
        <v>-3.0348019208759071E-9</v>
      </c>
      <c r="J61" s="37">
        <f t="shared" si="0"/>
        <v>-3.2624120649416003E-9</v>
      </c>
      <c r="K61" s="37">
        <f>-I61*Geo_DCF!$B$8</f>
        <v>2.2761014406569301E-10</v>
      </c>
      <c r="L61" s="40">
        <f>-(K61*Geo_DCF!$B$10)</f>
        <v>0</v>
      </c>
      <c r="M61" s="37">
        <f>-Geo_DCF!$B$15*Geo_DCF!$B$24*E61*(1+Geo_DCF!$B$16)^A61</f>
        <v>-146323.90407799717</v>
      </c>
      <c r="N61" s="37">
        <f>M61*Geo_DCF!$B$10</f>
        <v>0</v>
      </c>
      <c r="O61" s="37">
        <f>-E61*Geo_DCF!$D$23*Geo_DCF!$B$14*(1+Geo_DCF!$B$16)^A61</f>
        <v>0</v>
      </c>
      <c r="P61" s="37">
        <f>O61*Geo_DCF!$B$10</f>
        <v>0</v>
      </c>
      <c r="Q61" s="40">
        <f t="shared" si="5"/>
        <v>-146323.90407799717</v>
      </c>
      <c r="R61" s="37">
        <f>-E61*Geo_DCF!$B$22*(1+Geo_DCF!$B$18)^(Geo_DCF!A61)</f>
        <v>-93600.443355030948</v>
      </c>
      <c r="S61" s="37">
        <f>-R61*Geo_DCF!$B$10</f>
        <v>0</v>
      </c>
      <c r="T61" s="40">
        <f t="shared" si="6"/>
        <v>-93600.443355030948</v>
      </c>
      <c r="U61" s="40">
        <f t="shared" si="7"/>
        <v>-239924.3474330281</v>
      </c>
      <c r="V61" s="38">
        <f t="shared" si="1"/>
        <v>-76447.291011209425</v>
      </c>
      <c r="W61" s="40">
        <f>Baseline_DCF!U61</f>
        <v>-2521666.5454618079</v>
      </c>
      <c r="X61" s="40">
        <f t="shared" si="8"/>
        <v>2445219.2544505983</v>
      </c>
      <c r="Y61" s="38">
        <f t="shared" si="2"/>
        <v>779122.21052670258</v>
      </c>
      <c r="Z61" s="40">
        <f t="shared" si="3"/>
        <v>239924.3474330281</v>
      </c>
    </row>
    <row r="62" spans="1:26" ht="14.4" x14ac:dyDescent="0.3">
      <c r="A62" s="35">
        <f t="shared" si="4"/>
        <v>13</v>
      </c>
      <c r="B62" s="44">
        <f>1/(1+Geo_DCF!$B$9)^A62</f>
        <v>0.28966437973668779</v>
      </c>
      <c r="C62" s="36">
        <f>IF(A62&lt;(Geo_DCF!$B$7+1),1,0)</f>
        <v>0</v>
      </c>
      <c r="D62" s="36">
        <f>IF(A62&lt;(Geo_DCF!$B$11+1),1,0)</f>
        <v>1</v>
      </c>
      <c r="E62" s="36">
        <f>IF(A62&lt;(Geo_DCF!$B$12+1),1,0)</f>
        <v>1</v>
      </c>
      <c r="F62" s="37">
        <f xml:space="preserve"> -Geo_DCF!$B$33*D62</f>
        <v>-362666.66666666669</v>
      </c>
      <c r="G62" s="40">
        <f>-F62*Geo_DCF!$B$10</f>
        <v>0</v>
      </c>
      <c r="H62" s="40">
        <f>-Geo_DCF!$B$29*C62</f>
        <v>0</v>
      </c>
      <c r="I62" s="37">
        <f t="shared" si="9"/>
        <v>-3.2624120649416003E-9</v>
      </c>
      <c r="J62" s="37">
        <f t="shared" si="0"/>
        <v>-3.5070929698122204E-9</v>
      </c>
      <c r="K62" s="37">
        <f>-I62*Geo_DCF!$B$8</f>
        <v>2.4468090487062004E-10</v>
      </c>
      <c r="L62" s="40">
        <f>-(K62*Geo_DCF!$B$10)</f>
        <v>0</v>
      </c>
      <c r="M62" s="37">
        <f>-Geo_DCF!$B$15*Geo_DCF!$B$24*E62*(1+Geo_DCF!$B$16)^A62</f>
        <v>-149982.00167994711</v>
      </c>
      <c r="N62" s="37">
        <f>M62*Geo_DCF!$B$10</f>
        <v>0</v>
      </c>
      <c r="O62" s="37">
        <f>-E62*Geo_DCF!$D$23*Geo_DCF!$B$14*(1+Geo_DCF!$B$16)^A62</f>
        <v>0</v>
      </c>
      <c r="P62" s="37">
        <f>O62*Geo_DCF!$B$10</f>
        <v>0</v>
      </c>
      <c r="Q62" s="40">
        <f t="shared" si="5"/>
        <v>-149982.00167994711</v>
      </c>
      <c r="R62" s="37">
        <f>-E62*Geo_DCF!$B$22*(1+Geo_DCF!$B$18)^(Geo_DCF!A62)</f>
        <v>-95940.454438906716</v>
      </c>
      <c r="S62" s="37">
        <f>-R62*Geo_DCF!$B$10</f>
        <v>0</v>
      </c>
      <c r="T62" s="40">
        <f t="shared" si="6"/>
        <v>-95940.454438906716</v>
      </c>
      <c r="U62" s="40">
        <f t="shared" si="7"/>
        <v>-245922.45611885382</v>
      </c>
      <c r="V62" s="38">
        <f t="shared" si="1"/>
        <v>-71234.975714990607</v>
      </c>
      <c r="W62" s="40">
        <f>Baseline_DCF!U62</f>
        <v>-2584708.2090983531</v>
      </c>
      <c r="X62" s="40">
        <f t="shared" si="8"/>
        <v>2513473.2333833626</v>
      </c>
      <c r="Y62" s="38">
        <f t="shared" si="2"/>
        <v>728063.66513275891</v>
      </c>
      <c r="Z62" s="40">
        <f t="shared" si="3"/>
        <v>245922.45611885382</v>
      </c>
    </row>
    <row r="63" spans="1:26" ht="14.4" x14ac:dyDescent="0.3">
      <c r="A63" s="35">
        <f t="shared" si="4"/>
        <v>14</v>
      </c>
      <c r="B63" s="44">
        <f>1/(1+Geo_DCF!$B$9)^A63</f>
        <v>0.26333125430607973</v>
      </c>
      <c r="C63" s="36">
        <f>IF(A63&lt;(Geo_DCF!$B$7+1),1,0)</f>
        <v>0</v>
      </c>
      <c r="D63" s="36">
        <f>IF(A63&lt;(Geo_DCF!$B$11+1),1,0)</f>
        <v>1</v>
      </c>
      <c r="E63" s="36">
        <f>IF(A63&lt;(Geo_DCF!$B$12+1),1,0)</f>
        <v>1</v>
      </c>
      <c r="F63" s="37">
        <f xml:space="preserve"> -Geo_DCF!$B$33*D63</f>
        <v>-362666.66666666669</v>
      </c>
      <c r="G63" s="40">
        <f>-F63*Geo_DCF!$B$10</f>
        <v>0</v>
      </c>
      <c r="H63" s="40">
        <f>-Geo_DCF!$B$29*C63</f>
        <v>0</v>
      </c>
      <c r="I63" s="37">
        <f t="shared" si="9"/>
        <v>-3.5070929698122204E-9</v>
      </c>
      <c r="J63" s="37">
        <f t="shared" si="0"/>
        <v>-3.7701249425481368E-9</v>
      </c>
      <c r="K63" s="37">
        <f>-I63*Geo_DCF!$B$8</f>
        <v>2.6303197273591653E-10</v>
      </c>
      <c r="L63" s="40">
        <f>-(K63*Geo_DCF!$B$10)</f>
        <v>0</v>
      </c>
      <c r="M63" s="37">
        <f>-Geo_DCF!$B$15*Geo_DCF!$B$24*E63*(1+Geo_DCF!$B$16)^A63</f>
        <v>-153731.55172194575</v>
      </c>
      <c r="N63" s="37">
        <f>M63*Geo_DCF!$B$10</f>
        <v>0</v>
      </c>
      <c r="O63" s="37">
        <f>-E63*Geo_DCF!$D$23*Geo_DCF!$B$14*(1+Geo_DCF!$B$16)^A63</f>
        <v>0</v>
      </c>
      <c r="P63" s="37">
        <f>O63*Geo_DCF!$B$10</f>
        <v>0</v>
      </c>
      <c r="Q63" s="40">
        <f t="shared" si="5"/>
        <v>-153731.55172194575</v>
      </c>
      <c r="R63" s="37">
        <f>-E63*Geo_DCF!$B$22*(1+Geo_DCF!$B$18)^(Geo_DCF!A63)</f>
        <v>-98338.96579987937</v>
      </c>
      <c r="S63" s="37">
        <f>-R63*Geo_DCF!$B$10</f>
        <v>0</v>
      </c>
      <c r="T63" s="40">
        <f t="shared" si="6"/>
        <v>-98338.96579987937</v>
      </c>
      <c r="U63" s="40">
        <f t="shared" si="7"/>
        <v>-252070.51752182512</v>
      </c>
      <c r="V63" s="38">
        <f t="shared" si="1"/>
        <v>-66378.045552604861</v>
      </c>
      <c r="W63" s="40">
        <f>Baseline_DCF!U63</f>
        <v>-2649325.9143258114</v>
      </c>
      <c r="X63" s="40">
        <f t="shared" si="8"/>
        <v>2582947.8687732066</v>
      </c>
      <c r="Y63" s="38">
        <f t="shared" si="2"/>
        <v>680170.90209126391</v>
      </c>
      <c r="Z63" s="40">
        <f t="shared" si="3"/>
        <v>252070.51752182512</v>
      </c>
    </row>
    <row r="64" spans="1:26" ht="14.4" x14ac:dyDescent="0.3">
      <c r="A64" s="35">
        <f t="shared" si="4"/>
        <v>15</v>
      </c>
      <c r="B64" s="44">
        <f>1/(1+Geo_DCF!$B$9)^A64</f>
        <v>0.23939204936916339</v>
      </c>
      <c r="C64" s="36">
        <f>IF(A64&lt;(Geo_DCF!$B$7+1),1,0)</f>
        <v>0</v>
      </c>
      <c r="D64" s="36">
        <f>IF(A64&lt;(Geo_DCF!$B$11+1),1,0)</f>
        <v>1</v>
      </c>
      <c r="E64" s="36">
        <f>IF(A64&lt;(Geo_DCF!$B$12+1),1,0)</f>
        <v>1</v>
      </c>
      <c r="F64" s="37">
        <f xml:space="preserve"> -Geo_DCF!$B$33*D64</f>
        <v>-362666.66666666669</v>
      </c>
      <c r="G64" s="40">
        <f>-F64*Geo_DCF!$B$10</f>
        <v>0</v>
      </c>
      <c r="H64" s="40">
        <f>-Geo_DCF!$B$29*C64</f>
        <v>0</v>
      </c>
      <c r="I64" s="37">
        <f t="shared" si="9"/>
        <v>-3.7701249425481368E-9</v>
      </c>
      <c r="J64" s="37">
        <f t="shared" si="0"/>
        <v>-4.0528843132392469E-9</v>
      </c>
      <c r="K64" s="37">
        <f>-I64*Geo_DCF!$B$8</f>
        <v>2.8275937069111023E-10</v>
      </c>
      <c r="L64" s="40">
        <f>-(K64*Geo_DCF!$B$10)</f>
        <v>0</v>
      </c>
      <c r="M64" s="37">
        <f>-Geo_DCF!$B$15*Geo_DCF!$B$24*E64*(1+Geo_DCF!$B$16)^A64</f>
        <v>-157574.84051499443</v>
      </c>
      <c r="N64" s="37">
        <f>M64*Geo_DCF!$B$10</f>
        <v>0</v>
      </c>
      <c r="O64" s="37">
        <f>-E64*Geo_DCF!$D$23*Geo_DCF!$B$14*(1+Geo_DCF!$B$16)^A64</f>
        <v>0</v>
      </c>
      <c r="P64" s="37">
        <f>O64*Geo_DCF!$B$10</f>
        <v>0</v>
      </c>
      <c r="Q64" s="40">
        <f t="shared" si="5"/>
        <v>-157574.84051499443</v>
      </c>
      <c r="R64" s="37">
        <f>-E64*Geo_DCF!$B$22*(1+Geo_DCF!$B$18)^(Geo_DCF!A64)</f>
        <v>-100797.43994487637</v>
      </c>
      <c r="S64" s="37">
        <f>-R64*Geo_DCF!$B$10</f>
        <v>0</v>
      </c>
      <c r="T64" s="40">
        <f t="shared" si="6"/>
        <v>-100797.43994487637</v>
      </c>
      <c r="U64" s="40">
        <f t="shared" si="7"/>
        <v>-258372.28045987082</v>
      </c>
      <c r="V64" s="38">
        <f t="shared" si="1"/>
        <v>-61852.269719472722</v>
      </c>
      <c r="W64" s="40">
        <f>Baseline_DCF!U64</f>
        <v>-2715559.0621839571</v>
      </c>
      <c r="X64" s="40">
        <f t="shared" si="8"/>
        <v>2653706.7924644845</v>
      </c>
      <c r="Y64" s="38">
        <f t="shared" si="2"/>
        <v>635276.30747294205</v>
      </c>
      <c r="Z64" s="40">
        <f t="shared" si="3"/>
        <v>258372.28045987082</v>
      </c>
    </row>
    <row r="65" spans="1:26" ht="14.4" x14ac:dyDescent="0.3">
      <c r="A65" s="35">
        <f t="shared" si="4"/>
        <v>16</v>
      </c>
      <c r="B65" s="44">
        <f>1/(1+Geo_DCF!$B$9)^A65</f>
        <v>0.21762913579014853</v>
      </c>
      <c r="C65" s="36">
        <f>IF(A65&lt;(Geo_DCF!$B$7+1),1,0)</f>
        <v>0</v>
      </c>
      <c r="D65" s="36">
        <f>IF(A65&lt;(Geo_DCF!$B$11+1),1,0)</f>
        <v>0</v>
      </c>
      <c r="E65" s="36">
        <f>IF(A65&lt;(Geo_DCF!$B$12+1),1,0)</f>
        <v>1</v>
      </c>
      <c r="F65" s="37">
        <f xml:space="preserve"> -Geo_DCF!$B$33*D65</f>
        <v>0</v>
      </c>
      <c r="G65" s="40">
        <f>-F65*Geo_DCF!$B$10</f>
        <v>0</v>
      </c>
      <c r="H65" s="40">
        <f>-Geo_DCF!$B$29*C65</f>
        <v>0</v>
      </c>
      <c r="I65" s="37">
        <f>J64</f>
        <v>-4.0528843132392469E-9</v>
      </c>
      <c r="J65" s="37">
        <f t="shared" si="0"/>
        <v>-4.3568506367321902E-9</v>
      </c>
      <c r="K65" s="37">
        <f>-I65*Geo_DCF!$B$8</f>
        <v>3.0396632349294351E-10</v>
      </c>
      <c r="L65" s="40">
        <f>-(K65*Geo_DCF!$B$10)</f>
        <v>0</v>
      </c>
      <c r="M65" s="37">
        <f>-Geo_DCF!$B$15*Geo_DCF!$B$24*E65*(1+Geo_DCF!$B$16)^A65</f>
        <v>-161514.21152786928</v>
      </c>
      <c r="N65" s="37">
        <f>M65*Geo_DCF!$B$10</f>
        <v>0</v>
      </c>
      <c r="O65" s="37">
        <f>-E65*Geo_DCF!$D$23*Geo_DCF!$B$14*(1+Geo_DCF!$B$16)^A65</f>
        <v>0</v>
      </c>
      <c r="P65" s="37">
        <f>O65*Geo_DCF!$B$10</f>
        <v>0</v>
      </c>
      <c r="Q65" s="40">
        <f t="shared" si="5"/>
        <v>-161514.21152786928</v>
      </c>
      <c r="R65" s="37">
        <f>-E65*Geo_DCF!$B$22*(1+Geo_DCF!$B$18)^(Geo_DCF!A65)</f>
        <v>-103317.37594349826</v>
      </c>
      <c r="S65" s="37">
        <f>-R65*Geo_DCF!$B$10</f>
        <v>0</v>
      </c>
      <c r="T65" s="40">
        <f t="shared" si="6"/>
        <v>-103317.37594349826</v>
      </c>
      <c r="U65" s="40">
        <f t="shared" si="7"/>
        <v>-264831.58747136756</v>
      </c>
      <c r="V65" s="38">
        <f t="shared" si="1"/>
        <v>-57635.069511326852</v>
      </c>
      <c r="W65" s="40">
        <f>Baseline_DCF!U65</f>
        <v>-2783448.0387385557</v>
      </c>
      <c r="X65" s="40">
        <f t="shared" si="8"/>
        <v>2725812.9692272288</v>
      </c>
      <c r="Y65" s="38">
        <f t="shared" si="2"/>
        <v>593216.32081850048</v>
      </c>
      <c r="Z65" s="40">
        <f t="shared" si="3"/>
        <v>264831.58747136756</v>
      </c>
    </row>
    <row r="66" spans="1:26" ht="14.4" x14ac:dyDescent="0.3">
      <c r="A66" s="35">
        <f t="shared" si="4"/>
        <v>17</v>
      </c>
      <c r="B66" s="44">
        <f>1/(1+Geo_DCF!$B$9)^A66</f>
        <v>0.19784466890013502</v>
      </c>
      <c r="C66" s="36">
        <f>IF(A66&lt;(Geo_DCF!$B$7+1),1,0)</f>
        <v>0</v>
      </c>
      <c r="D66" s="36">
        <f>IF(A66&lt;(Geo_DCF!$B$11+1),1,0)</f>
        <v>0</v>
      </c>
      <c r="E66" s="36">
        <f>IF(A66&lt;(Geo_DCF!$B$12+1),1,0)</f>
        <v>1</v>
      </c>
      <c r="F66" s="37">
        <f xml:space="preserve"> -Geo_DCF!$B$33*D66</f>
        <v>0</v>
      </c>
      <c r="G66" s="40">
        <f>-F66*Geo_DCF!$B$10</f>
        <v>0</v>
      </c>
      <c r="H66" s="40">
        <f>-Geo_DCF!$B$29*C66</f>
        <v>0</v>
      </c>
      <c r="I66" s="37">
        <f t="shared" ref="I66:I89" si="10">J65</f>
        <v>-4.3568506367321902E-9</v>
      </c>
      <c r="J66" s="37">
        <f t="shared" si="0"/>
        <v>-4.6836144344871047E-9</v>
      </c>
      <c r="K66" s="37">
        <f>-I66*Geo_DCF!$B$8</f>
        <v>3.2676379775491424E-10</v>
      </c>
      <c r="L66" s="40">
        <f>-(K66*Geo_DCF!$B$10)</f>
        <v>0</v>
      </c>
      <c r="M66" s="37">
        <f>-Geo_DCF!$B$15*Geo_DCF!$B$24*E66*(1+Geo_DCF!$B$16)^A66</f>
        <v>-165552.06681606598</v>
      </c>
      <c r="N66" s="37">
        <f>M66*Geo_DCF!$B$10</f>
        <v>0</v>
      </c>
      <c r="O66" s="37">
        <f>-E66*Geo_DCF!$D$23*Geo_DCF!$B$14*(1+Geo_DCF!$B$16)^A66</f>
        <v>0</v>
      </c>
      <c r="P66" s="37">
        <f>O66*Geo_DCF!$B$10</f>
        <v>0</v>
      </c>
      <c r="Q66" s="40">
        <f t="shared" si="5"/>
        <v>-165552.06681606598</v>
      </c>
      <c r="R66" s="37">
        <f>-E66*Geo_DCF!$B$22*(1+Geo_DCF!$B$18)^(Geo_DCF!A66)</f>
        <v>-105900.31034208571</v>
      </c>
      <c r="S66" s="37">
        <f>-R66*Geo_DCF!$B$10</f>
        <v>0</v>
      </c>
      <c r="T66" s="40">
        <f t="shared" si="6"/>
        <v>-105900.31034208571</v>
      </c>
      <c r="U66" s="40">
        <f t="shared" si="7"/>
        <v>-271452.37715815171</v>
      </c>
      <c r="V66" s="38">
        <f t="shared" si="1"/>
        <v>-53705.405681009099</v>
      </c>
      <c r="W66" s="40">
        <f>Baseline_DCF!U66</f>
        <v>-2853034.2397070192</v>
      </c>
      <c r="X66" s="40">
        <f t="shared" si="8"/>
        <v>2799328.8340260102</v>
      </c>
      <c r="Y66" s="38">
        <f t="shared" si="2"/>
        <v>553832.28631047707</v>
      </c>
      <c r="Z66" s="40">
        <f t="shared" si="3"/>
        <v>271452.37715815171</v>
      </c>
    </row>
    <row r="67" spans="1:26" ht="14.4" x14ac:dyDescent="0.3">
      <c r="A67" s="35">
        <f t="shared" si="4"/>
        <v>18</v>
      </c>
      <c r="B67" s="44">
        <f>1/(1+Geo_DCF!$B$9)^A67</f>
        <v>0.17985878990921364</v>
      </c>
      <c r="C67" s="36">
        <f>IF(A67&lt;(Geo_DCF!$B$7+1),1,0)</f>
        <v>0</v>
      </c>
      <c r="D67" s="36">
        <f>IF(A67&lt;(Geo_DCF!$B$11+1),1,0)</f>
        <v>0</v>
      </c>
      <c r="E67" s="36">
        <f>IF(A67&lt;(Geo_DCF!$B$12+1),1,0)</f>
        <v>1</v>
      </c>
      <c r="F67" s="37">
        <f xml:space="preserve"> -Geo_DCF!$B$33*D67</f>
        <v>0</v>
      </c>
      <c r="G67" s="40">
        <f>-F67*Geo_DCF!$B$10</f>
        <v>0</v>
      </c>
      <c r="H67" s="40">
        <f>-Geo_DCF!$B$29*C67</f>
        <v>0</v>
      </c>
      <c r="I67" s="37">
        <f t="shared" si="10"/>
        <v>-4.6836144344871047E-9</v>
      </c>
      <c r="J67" s="37">
        <f t="shared" si="0"/>
        <v>-5.0348855170736373E-9</v>
      </c>
      <c r="K67" s="37">
        <f>-I67*Geo_DCF!$B$8</f>
        <v>3.5127108258653284E-10</v>
      </c>
      <c r="L67" s="40">
        <f>-(K67*Geo_DCF!$B$10)</f>
        <v>0</v>
      </c>
      <c r="M67" s="37">
        <f>-Geo_DCF!$B$15*Geo_DCF!$B$24*E67*(1+Geo_DCF!$B$16)^A67</f>
        <v>-169690.86848646763</v>
      </c>
      <c r="N67" s="37">
        <f>M67*Geo_DCF!$B$10</f>
        <v>0</v>
      </c>
      <c r="O67" s="37">
        <f>-E67*Geo_DCF!$D$23*Geo_DCF!$B$14*(1+Geo_DCF!$B$16)^A67</f>
        <v>0</v>
      </c>
      <c r="P67" s="37">
        <f>O67*Geo_DCF!$B$10</f>
        <v>0</v>
      </c>
      <c r="Q67" s="40">
        <f t="shared" si="5"/>
        <v>-169690.86848646763</v>
      </c>
      <c r="R67" s="37">
        <f>-E67*Geo_DCF!$B$22*(1+Geo_DCF!$B$18)^(Geo_DCF!A67)</f>
        <v>-108547.81810063786</v>
      </c>
      <c r="S67" s="37">
        <f>-R67*Geo_DCF!$B$10</f>
        <v>0</v>
      </c>
      <c r="T67" s="40">
        <f t="shared" si="6"/>
        <v>-108547.81810063786</v>
      </c>
      <c r="U67" s="40">
        <f t="shared" si="7"/>
        <v>-278238.68658710551</v>
      </c>
      <c r="V67" s="38">
        <f t="shared" si="1"/>
        <v>-50043.673475485746</v>
      </c>
      <c r="W67" s="40">
        <f>Baseline_DCF!U67</f>
        <v>-2924360.0956996949</v>
      </c>
      <c r="X67" s="40">
        <f t="shared" si="8"/>
        <v>2874316.4222242092</v>
      </c>
      <c r="Y67" s="38">
        <f t="shared" si="2"/>
        <v>516971.07351742667</v>
      </c>
      <c r="Z67" s="40">
        <f t="shared" si="3"/>
        <v>278238.68658710551</v>
      </c>
    </row>
    <row r="68" spans="1:26" ht="14.4" x14ac:dyDescent="0.3">
      <c r="A68" s="35">
        <f t="shared" si="4"/>
        <v>19</v>
      </c>
      <c r="B68" s="44">
        <f>1/(1+Geo_DCF!$B$9)^A68</f>
        <v>0.16350799082655781</v>
      </c>
      <c r="C68" s="36">
        <f>IF(A68&lt;(Geo_DCF!$B$7+1),1,0)</f>
        <v>0</v>
      </c>
      <c r="D68" s="36">
        <f>IF(A68&lt;(Geo_DCF!$B$11+1),1,0)</f>
        <v>0</v>
      </c>
      <c r="E68" s="36">
        <f>IF(A68&lt;(Geo_DCF!$B$12+1),1,0)</f>
        <v>1</v>
      </c>
      <c r="F68" s="37">
        <f xml:space="preserve"> -Geo_DCF!$B$33*D68</f>
        <v>0</v>
      </c>
      <c r="G68" s="40">
        <f>-F68*Geo_DCF!$B$10</f>
        <v>0</v>
      </c>
      <c r="H68" s="40">
        <f>-Geo_DCF!$B$29*C68</f>
        <v>0</v>
      </c>
      <c r="I68" s="37">
        <f t="shared" si="10"/>
        <v>-5.0348855170736373E-9</v>
      </c>
      <c r="J68" s="37">
        <f t="shared" si="0"/>
        <v>-5.4125019308541597E-9</v>
      </c>
      <c r="K68" s="37">
        <f>-I68*Geo_DCF!$B$8</f>
        <v>3.7761641378052277E-10</v>
      </c>
      <c r="L68" s="40">
        <f>-(K68*Geo_DCF!$B$10)</f>
        <v>0</v>
      </c>
      <c r="M68" s="37">
        <f>-Geo_DCF!$B$15*Geo_DCF!$B$24*E68*(1+Geo_DCF!$B$16)^A68</f>
        <v>-173933.14019862932</v>
      </c>
      <c r="N68" s="37">
        <f>M68*Geo_DCF!$B$10</f>
        <v>0</v>
      </c>
      <c r="O68" s="37">
        <f>-E68*Geo_DCF!$D$23*Geo_DCF!$B$14*(1+Geo_DCF!$B$16)^A68</f>
        <v>0</v>
      </c>
      <c r="P68" s="37">
        <f>O68*Geo_DCF!$B$10</f>
        <v>0</v>
      </c>
      <c r="Q68" s="40">
        <f t="shared" si="5"/>
        <v>-173933.14019862932</v>
      </c>
      <c r="R68" s="37">
        <f>-E68*Geo_DCF!$B$22*(1+Geo_DCF!$B$18)^(Geo_DCF!A68)</f>
        <v>-111261.51355315381</v>
      </c>
      <c r="S68" s="37">
        <f>-R68*Geo_DCF!$B$10</f>
        <v>0</v>
      </c>
      <c r="T68" s="40">
        <f t="shared" si="6"/>
        <v>-111261.51355315381</v>
      </c>
      <c r="U68" s="40">
        <f t="shared" si="7"/>
        <v>-285194.65375178313</v>
      </c>
      <c r="V68" s="38">
        <f t="shared" si="1"/>
        <v>-46631.604829429889</v>
      </c>
      <c r="W68" s="40">
        <f>Baseline_DCF!U68</f>
        <v>-2997469.0980921872</v>
      </c>
      <c r="X68" s="40">
        <f t="shared" si="8"/>
        <v>2950837.4932627571</v>
      </c>
      <c r="Y68" s="38">
        <f t="shared" si="2"/>
        <v>482485.50977906975</v>
      </c>
      <c r="Z68" s="40">
        <f t="shared" si="3"/>
        <v>285194.65375178313</v>
      </c>
    </row>
    <row r="69" spans="1:26" ht="14.4" x14ac:dyDescent="0.3">
      <c r="A69" s="35">
        <f t="shared" si="4"/>
        <v>20</v>
      </c>
      <c r="B69" s="44">
        <f>1/(1+Geo_DCF!$B$9)^A69</f>
        <v>0.14864362802414349</v>
      </c>
      <c r="C69" s="36">
        <f>IF(A69&lt;(Geo_DCF!$B$7+1),1,0)</f>
        <v>0</v>
      </c>
      <c r="D69" s="36">
        <f>IF(A69&lt;(Geo_DCF!$B$11+1),1,0)</f>
        <v>0</v>
      </c>
      <c r="E69" s="36">
        <f>IF(A69&lt;(Geo_DCF!$B$12+1),1,0)</f>
        <v>1</v>
      </c>
      <c r="F69" s="37">
        <f xml:space="preserve"> -Geo_DCF!$B$33*D69</f>
        <v>0</v>
      </c>
      <c r="G69" s="40">
        <f>-F69*Geo_DCF!$B$10</f>
        <v>0</v>
      </c>
      <c r="H69" s="40">
        <f>-Geo_DCF!$B$29*C69</f>
        <v>0</v>
      </c>
      <c r="I69" s="37">
        <f t="shared" si="10"/>
        <v>-5.4125019308541597E-9</v>
      </c>
      <c r="J69" s="37">
        <f t="shared" si="0"/>
        <v>-5.8184395756682216E-9</v>
      </c>
      <c r="K69" s="37">
        <f>-I69*Geo_DCF!$B$8</f>
        <v>4.0593764481406195E-10</v>
      </c>
      <c r="L69" s="40">
        <f>-(K69*Geo_DCF!$B$10)</f>
        <v>0</v>
      </c>
      <c r="M69" s="37">
        <f>-Geo_DCF!$B$15*Geo_DCF!$B$24*E69*(1+Geo_DCF!$B$16)^A69</f>
        <v>-178281.46870359505</v>
      </c>
      <c r="N69" s="37">
        <f>M69*Geo_DCF!$B$10</f>
        <v>0</v>
      </c>
      <c r="O69" s="37">
        <f>-E69*Geo_DCF!$D$23*Geo_DCF!$B$14*(1+Geo_DCF!$B$16)^A69</f>
        <v>0</v>
      </c>
      <c r="P69" s="37">
        <f>O69*Geo_DCF!$B$10</f>
        <v>0</v>
      </c>
      <c r="Q69" s="40">
        <f t="shared" si="5"/>
        <v>-178281.46870359505</v>
      </c>
      <c r="R69" s="37">
        <f>-E69*Geo_DCF!$B$22*(1+Geo_DCF!$B$18)^(Geo_DCF!A69)</f>
        <v>-114043.05139198263</v>
      </c>
      <c r="S69" s="37">
        <f>-R69*Geo_DCF!$B$10</f>
        <v>0</v>
      </c>
      <c r="T69" s="40">
        <f t="shared" si="6"/>
        <v>-114043.05139198263</v>
      </c>
      <c r="U69" s="40">
        <f>G69+H69+L69+Q69+T69+IF(AND(E69=1,E70=0),$B$25,0)</f>
        <v>-20324.520095577696</v>
      </c>
      <c r="V69" s="38">
        <f t="shared" si="1"/>
        <v>-3021.1104048562806</v>
      </c>
      <c r="W69" s="40">
        <f>Baseline_DCF!U69</f>
        <v>-3072405.8255444919</v>
      </c>
      <c r="X69" s="40">
        <f t="shared" si="8"/>
        <v>3069384.7151396354</v>
      </c>
      <c r="Y69" s="38">
        <f t="shared" si="2"/>
        <v>456244.47986020759</v>
      </c>
      <c r="Z69" s="40">
        <f t="shared" si="3"/>
        <v>20324.520095577696</v>
      </c>
    </row>
    <row r="70" spans="1:26" ht="14.4" x14ac:dyDescent="0.3">
      <c r="A70" s="35">
        <f t="shared" si="4"/>
        <v>21</v>
      </c>
      <c r="B70" s="44">
        <f>1/(1+Geo_DCF!$B$9)^A70</f>
        <v>0.13513057093103953</v>
      </c>
      <c r="C70" s="36">
        <f>IF(A70&lt;(Geo_DCF!$B$7+1),1,0)</f>
        <v>0</v>
      </c>
      <c r="D70" s="36">
        <f>IF(A70&lt;(Geo_DCF!$B$11+1),1,0)</f>
        <v>0</v>
      </c>
      <c r="E70" s="36">
        <f>IF(A70&lt;(Geo_DCF!$B$12+1),1,0)</f>
        <v>0</v>
      </c>
      <c r="F70" s="37">
        <f xml:space="preserve"> -Geo_DCF!$B$33*D70</f>
        <v>0</v>
      </c>
      <c r="G70" s="40">
        <f>-F70*Geo_DCF!$B$10</f>
        <v>0</v>
      </c>
      <c r="H70" s="40">
        <f>-Geo_DCF!$B$29*C70</f>
        <v>0</v>
      </c>
      <c r="I70" s="37">
        <f t="shared" si="10"/>
        <v>-5.8184395756682216E-9</v>
      </c>
      <c r="J70" s="37">
        <f t="shared" si="0"/>
        <v>-6.2548225438433386E-9</v>
      </c>
      <c r="K70" s="37">
        <f>-I70*Geo_DCF!$B$8</f>
        <v>4.3638296817511662E-10</v>
      </c>
      <c r="L70" s="40">
        <f>-(K70*Geo_DCF!$B$10)</f>
        <v>0</v>
      </c>
      <c r="M70" s="37">
        <f>-Geo_DCF!$B$15*Geo_DCF!$B$24*E70*(1+Geo_DCF!$B$16)^A70</f>
        <v>0</v>
      </c>
      <c r="N70" s="37">
        <f>M70*Geo_DCF!$B$10</f>
        <v>0</v>
      </c>
      <c r="O70" s="37">
        <f>-E70*Geo_DCF!$D$23*Geo_DCF!$B$14*(1+Geo_DCF!$B$16)^A70</f>
        <v>0</v>
      </c>
      <c r="P70" s="37">
        <f>O70*Geo_DCF!$B$10</f>
        <v>0</v>
      </c>
      <c r="Q70" s="40">
        <f t="shared" si="5"/>
        <v>0</v>
      </c>
      <c r="R70" s="37">
        <f>-E70*Geo_DCF!$B$22*(1+Geo_DCF!$B$18)^(Geo_DCF!A70)</f>
        <v>0</v>
      </c>
      <c r="S70" s="37">
        <f>-R70*Geo_DCF!$B$10</f>
        <v>0</v>
      </c>
      <c r="T70" s="40">
        <f t="shared" si="6"/>
        <v>0</v>
      </c>
      <c r="U70" s="40">
        <f t="shared" si="7"/>
        <v>0</v>
      </c>
      <c r="V70" s="38">
        <f t="shared" si="1"/>
        <v>0</v>
      </c>
      <c r="W70" s="40">
        <f>Baseline_DCF!U70</f>
        <v>0</v>
      </c>
      <c r="X70" s="40">
        <f t="shared" si="8"/>
        <v>0</v>
      </c>
      <c r="Y70" s="38">
        <f t="shared" si="2"/>
        <v>0</v>
      </c>
      <c r="Z70" s="40">
        <f t="shared" si="3"/>
        <v>0</v>
      </c>
    </row>
    <row r="71" spans="1:26" ht="14.4" x14ac:dyDescent="0.3">
      <c r="A71" s="35">
        <f t="shared" si="4"/>
        <v>22</v>
      </c>
      <c r="B71" s="44">
        <f>1/(1+Geo_DCF!$B$9)^A71</f>
        <v>0.12284597357367227</v>
      </c>
      <c r="C71" s="36">
        <f>IF(A71&lt;(Geo_DCF!$B$7+1),1,0)</f>
        <v>0</v>
      </c>
      <c r="D71" s="36">
        <f>IF(A71&lt;(Geo_DCF!$B$11+1),1,0)</f>
        <v>0</v>
      </c>
      <c r="E71" s="36">
        <f>IF(A71&lt;(Geo_DCF!$B$12+1),1,0)</f>
        <v>0</v>
      </c>
      <c r="F71" s="37">
        <f xml:space="preserve"> -Geo_DCF!$B$33*D71</f>
        <v>0</v>
      </c>
      <c r="G71" s="40">
        <f>-F71*Geo_DCF!$B$10</f>
        <v>0</v>
      </c>
      <c r="H71" s="40">
        <f>-Geo_DCF!$B$29*C71</f>
        <v>0</v>
      </c>
      <c r="I71" s="37">
        <f t="shared" si="10"/>
        <v>-6.2548225438433386E-9</v>
      </c>
      <c r="J71" s="37">
        <f t="shared" si="0"/>
        <v>-6.723934234631589E-9</v>
      </c>
      <c r="K71" s="37">
        <f>-I71*Geo_DCF!$B$8</f>
        <v>4.6911169078825042E-10</v>
      </c>
      <c r="L71" s="40">
        <f>-(K71*Geo_DCF!$B$10)</f>
        <v>0</v>
      </c>
      <c r="M71" s="37">
        <f>-Geo_DCF!$B$15*Geo_DCF!$B$24*E71*(1+Geo_DCF!$B$16)^A71</f>
        <v>0</v>
      </c>
      <c r="N71" s="37">
        <f>M71*Geo_DCF!$B$10</f>
        <v>0</v>
      </c>
      <c r="O71" s="37">
        <f>-E71*Geo_DCF!$D$23*Geo_DCF!$B$14*(1+Geo_DCF!$B$16)^A71</f>
        <v>0</v>
      </c>
      <c r="P71" s="37">
        <f>O71*Geo_DCF!$B$10</f>
        <v>0</v>
      </c>
      <c r="Q71" s="40">
        <f t="shared" si="5"/>
        <v>0</v>
      </c>
      <c r="R71" s="37">
        <f>-E71*Geo_DCF!$B$22*(1+Geo_DCF!$B$18)^(Geo_DCF!A71)</f>
        <v>0</v>
      </c>
      <c r="S71" s="37">
        <f>-R71*Geo_DCF!$B$10</f>
        <v>0</v>
      </c>
      <c r="T71" s="40">
        <f t="shared" si="6"/>
        <v>0</v>
      </c>
      <c r="U71" s="40">
        <f t="shared" si="7"/>
        <v>0</v>
      </c>
      <c r="V71" s="38">
        <f t="shared" si="1"/>
        <v>0</v>
      </c>
      <c r="W71" s="40">
        <f>Baseline_DCF!U71</f>
        <v>0</v>
      </c>
      <c r="X71" s="40">
        <f t="shared" si="8"/>
        <v>0</v>
      </c>
      <c r="Y71" s="38">
        <f t="shared" si="2"/>
        <v>0</v>
      </c>
      <c r="Z71" s="40">
        <f t="shared" si="3"/>
        <v>0</v>
      </c>
    </row>
    <row r="72" spans="1:26" ht="14.4" x14ac:dyDescent="0.3">
      <c r="A72" s="35">
        <f t="shared" si="4"/>
        <v>23</v>
      </c>
      <c r="B72" s="44">
        <f>1/(1+Geo_DCF!$B$9)^A72</f>
        <v>0.11167815779424752</v>
      </c>
      <c r="C72" s="36">
        <f>IF(A72&lt;(Geo_DCF!$B$7+1),1,0)</f>
        <v>0</v>
      </c>
      <c r="D72" s="36">
        <f>IF(A72&lt;(Geo_DCF!$B$11+1),1,0)</f>
        <v>0</v>
      </c>
      <c r="E72" s="36">
        <f>IF(A72&lt;(Geo_DCF!$B$12+1),1,0)</f>
        <v>0</v>
      </c>
      <c r="F72" s="37">
        <f xml:space="preserve"> -Geo_DCF!$B$33*D72</f>
        <v>0</v>
      </c>
      <c r="G72" s="40">
        <f>-F72*Geo_DCF!$B$10</f>
        <v>0</v>
      </c>
      <c r="H72" s="40">
        <f>-Geo_DCF!$B$29*C72</f>
        <v>0</v>
      </c>
      <c r="I72" s="37">
        <f t="shared" si="10"/>
        <v>-6.723934234631589E-9</v>
      </c>
      <c r="J72" s="37">
        <f t="shared" si="0"/>
        <v>-7.2282293022289578E-9</v>
      </c>
      <c r="K72" s="37">
        <f>-I72*Geo_DCF!$B$8</f>
        <v>5.0429506759736919E-10</v>
      </c>
      <c r="L72" s="40">
        <f>-(K72*Geo_DCF!$B$10)</f>
        <v>0</v>
      </c>
      <c r="M72" s="37">
        <f>-Geo_DCF!$B$15*Geo_DCF!$B$24*E72*(1+Geo_DCF!$B$16)^A72</f>
        <v>0</v>
      </c>
      <c r="N72" s="37">
        <f>M72*Geo_DCF!$B$10</f>
        <v>0</v>
      </c>
      <c r="O72" s="37">
        <f>-E72*Geo_DCF!$D$23*Geo_DCF!$B$14*(1+Geo_DCF!$B$16)^A72</f>
        <v>0</v>
      </c>
      <c r="P72" s="37">
        <f>O72*Geo_DCF!$B$10</f>
        <v>0</v>
      </c>
      <c r="Q72" s="40">
        <f t="shared" si="5"/>
        <v>0</v>
      </c>
      <c r="R72" s="37">
        <f>-E72*Geo_DCF!$B$22*(1+Geo_DCF!$B$18)^(Geo_DCF!A72)</f>
        <v>0</v>
      </c>
      <c r="S72" s="37">
        <f>-R72*Geo_DCF!$B$10</f>
        <v>0</v>
      </c>
      <c r="T72" s="40">
        <f t="shared" si="6"/>
        <v>0</v>
      </c>
      <c r="U72" s="40">
        <f t="shared" si="7"/>
        <v>0</v>
      </c>
      <c r="V72" s="38">
        <f t="shared" si="1"/>
        <v>0</v>
      </c>
      <c r="W72" s="40">
        <f>Baseline_DCF!U72</f>
        <v>0</v>
      </c>
      <c r="X72" s="40">
        <f t="shared" si="8"/>
        <v>0</v>
      </c>
      <c r="Y72" s="38">
        <f t="shared" si="2"/>
        <v>0</v>
      </c>
      <c r="Z72" s="40">
        <f t="shared" si="3"/>
        <v>0</v>
      </c>
    </row>
    <row r="73" spans="1:26" ht="14.4" x14ac:dyDescent="0.3">
      <c r="A73" s="35">
        <f t="shared" si="4"/>
        <v>24</v>
      </c>
      <c r="B73" s="44">
        <f>1/(1+Geo_DCF!$B$9)^A73</f>
        <v>0.10152559799477048</v>
      </c>
      <c r="C73" s="36">
        <f>IF(A73&lt;(Geo_DCF!$B$7+1),1,0)</f>
        <v>0</v>
      </c>
      <c r="D73" s="36">
        <f>IF(A73&lt;(Geo_DCF!$B$11+1),1,0)</f>
        <v>0</v>
      </c>
      <c r="E73" s="36">
        <f>IF(A73&lt;(Geo_DCF!$B$12+1),1,0)</f>
        <v>0</v>
      </c>
      <c r="F73" s="37">
        <f xml:space="preserve"> -Geo_DCF!$B$33*D73</f>
        <v>0</v>
      </c>
      <c r="G73" s="40">
        <f>-F73*Geo_DCF!$B$10</f>
        <v>0</v>
      </c>
      <c r="H73" s="40">
        <f>-Geo_DCF!$B$29*C73</f>
        <v>0</v>
      </c>
      <c r="I73" s="37">
        <f t="shared" si="10"/>
        <v>-7.2282293022289578E-9</v>
      </c>
      <c r="J73" s="37">
        <f t="shared" si="0"/>
        <v>-7.77034649989613E-9</v>
      </c>
      <c r="K73" s="37">
        <f>-I73*Geo_DCF!$B$8</f>
        <v>5.4211719766717182E-10</v>
      </c>
      <c r="L73" s="40">
        <f>-(K73*Geo_DCF!$B$10)</f>
        <v>0</v>
      </c>
      <c r="M73" s="37">
        <f>-Geo_DCF!$B$15*Geo_DCF!$B$24*E73*(1+Geo_DCF!$B$16)^A73</f>
        <v>0</v>
      </c>
      <c r="N73" s="37">
        <f>M73*Geo_DCF!$B$10</f>
        <v>0</v>
      </c>
      <c r="O73" s="37">
        <f>-E73*Geo_DCF!$D$23*Geo_DCF!$B$14*(1+Geo_DCF!$B$16)^A73</f>
        <v>0</v>
      </c>
      <c r="P73" s="37">
        <f>O73*Geo_DCF!$B$10</f>
        <v>0</v>
      </c>
      <c r="Q73" s="40">
        <f t="shared" si="5"/>
        <v>0</v>
      </c>
      <c r="R73" s="37">
        <f>-E73*Geo_DCF!$B$22*(1+Geo_DCF!$B$18)^(Geo_DCF!A73)</f>
        <v>0</v>
      </c>
      <c r="S73" s="37">
        <f>-R73*Geo_DCF!$B$10</f>
        <v>0</v>
      </c>
      <c r="T73" s="40">
        <f t="shared" si="6"/>
        <v>0</v>
      </c>
      <c r="U73" s="40">
        <f t="shared" si="7"/>
        <v>0</v>
      </c>
      <c r="V73" s="38">
        <f t="shared" si="1"/>
        <v>0</v>
      </c>
      <c r="W73" s="40">
        <f>Baseline_DCF!U73</f>
        <v>0</v>
      </c>
      <c r="X73" s="40">
        <f t="shared" si="8"/>
        <v>0</v>
      </c>
      <c r="Y73" s="38">
        <f t="shared" si="2"/>
        <v>0</v>
      </c>
      <c r="Z73" s="40">
        <f t="shared" si="3"/>
        <v>0</v>
      </c>
    </row>
    <row r="74" spans="1:26" ht="14.4" x14ac:dyDescent="0.3">
      <c r="A74" s="35">
        <f t="shared" si="4"/>
        <v>25</v>
      </c>
      <c r="B74" s="44">
        <f>1/(1+Geo_DCF!$B$9)^A74</f>
        <v>9.2295998177064048E-2</v>
      </c>
      <c r="C74" s="36">
        <f>IF(A74&lt;(Geo_DCF!$B$7+1),1,0)</f>
        <v>0</v>
      </c>
      <c r="D74" s="36">
        <f>IF(A74&lt;(Geo_DCF!$B$11+1),1,0)</f>
        <v>0</v>
      </c>
      <c r="E74" s="36">
        <f>IF(A74&lt;(Geo_DCF!$B$12+1),1,0)</f>
        <v>0</v>
      </c>
      <c r="F74" s="37">
        <f xml:space="preserve"> -Geo_DCF!$B$33*D74</f>
        <v>0</v>
      </c>
      <c r="G74" s="40">
        <f>-F74*Geo_DCF!$B$10</f>
        <v>0</v>
      </c>
      <c r="H74" s="40">
        <f>-Geo_DCF!$B$29*C74</f>
        <v>0</v>
      </c>
      <c r="I74" s="37">
        <f t="shared" si="10"/>
        <v>-7.77034649989613E-9</v>
      </c>
      <c r="J74" s="37">
        <f t="shared" si="0"/>
        <v>-8.3531224873883393E-9</v>
      </c>
      <c r="K74" s="37">
        <f>-I74*Geo_DCF!$B$8</f>
        <v>5.8277598749220971E-10</v>
      </c>
      <c r="L74" s="40">
        <f>-(K74*Geo_DCF!$B$10)</f>
        <v>0</v>
      </c>
      <c r="M74" s="37">
        <f>-Geo_DCF!$B$15*Geo_DCF!$B$24*E74*(1+Geo_DCF!$B$16)^A74</f>
        <v>0</v>
      </c>
      <c r="N74" s="37">
        <f>M74*Geo_DCF!$B$10</f>
        <v>0</v>
      </c>
      <c r="O74" s="37">
        <f>-E74*Geo_DCF!$D$23*Geo_DCF!$B$14*(1+Geo_DCF!$B$16)^A74</f>
        <v>0</v>
      </c>
      <c r="P74" s="37">
        <f>O74*Geo_DCF!$B$10</f>
        <v>0</v>
      </c>
      <c r="Q74" s="40">
        <f t="shared" si="5"/>
        <v>0</v>
      </c>
      <c r="R74" s="37">
        <f>-E74*Geo_DCF!$B$22*(1+Geo_DCF!$B$18)^(Geo_DCF!A74)</f>
        <v>0</v>
      </c>
      <c r="S74" s="37">
        <f>-R74*Geo_DCF!$B$10</f>
        <v>0</v>
      </c>
      <c r="T74" s="40">
        <f t="shared" si="6"/>
        <v>0</v>
      </c>
      <c r="U74" s="40">
        <f t="shared" si="7"/>
        <v>0</v>
      </c>
      <c r="V74" s="38">
        <f t="shared" si="1"/>
        <v>0</v>
      </c>
      <c r="W74" s="40">
        <f>Baseline_DCF!U74</f>
        <v>0</v>
      </c>
      <c r="X74" s="40">
        <f t="shared" si="8"/>
        <v>0</v>
      </c>
      <c r="Y74" s="38">
        <f t="shared" si="2"/>
        <v>0</v>
      </c>
      <c r="Z74" s="40">
        <f t="shared" si="3"/>
        <v>0</v>
      </c>
    </row>
    <row r="75" spans="1:26" ht="14.4" x14ac:dyDescent="0.3">
      <c r="A75" s="35">
        <f t="shared" si="4"/>
        <v>26</v>
      </c>
      <c r="B75" s="44">
        <f>1/(1+Geo_DCF!$B$9)^A75</f>
        <v>8.3905452888240042E-2</v>
      </c>
      <c r="C75" s="36">
        <f>IF(A75&lt;(Geo_DCF!$B$7+1),1,0)</f>
        <v>0</v>
      </c>
      <c r="D75" s="36">
        <f>IF(A75&lt;(Geo_DCF!$B$11+1),1,0)</f>
        <v>0</v>
      </c>
      <c r="E75" s="36">
        <f>IF(A75&lt;(Geo_DCF!$B$12+1),1,0)</f>
        <v>0</v>
      </c>
      <c r="F75" s="37">
        <f xml:space="preserve"> -Geo_DCF!$B$33*D75</f>
        <v>0</v>
      </c>
      <c r="G75" s="40">
        <f>-F75*Geo_DCF!$B$10</f>
        <v>0</v>
      </c>
      <c r="H75" s="40">
        <f>-Geo_DCF!$B$29*C75</f>
        <v>0</v>
      </c>
      <c r="I75" s="37">
        <f t="shared" si="10"/>
        <v>-8.3531224873883393E-9</v>
      </c>
      <c r="J75" s="37">
        <f t="shared" si="0"/>
        <v>-8.9796066739424644E-9</v>
      </c>
      <c r="K75" s="37">
        <f>-I75*Geo_DCF!$B$8</f>
        <v>6.2648418655412547E-10</v>
      </c>
      <c r="L75" s="40">
        <f>-(K75*Geo_DCF!$B$10)</f>
        <v>0</v>
      </c>
      <c r="M75" s="37">
        <f>-Geo_DCF!$B$15*Geo_DCF!$B$24*E75*(1+Geo_DCF!$B$16)^A75</f>
        <v>0</v>
      </c>
      <c r="N75" s="37">
        <f>M75*Geo_DCF!$B$10</f>
        <v>0</v>
      </c>
      <c r="O75" s="37">
        <f>-E75*Geo_DCF!$D$23*Geo_DCF!$B$14*(1+Geo_DCF!$B$16)^A75</f>
        <v>0</v>
      </c>
      <c r="P75" s="37">
        <f>O75*Geo_DCF!$B$10</f>
        <v>0</v>
      </c>
      <c r="Q75" s="40">
        <f t="shared" si="5"/>
        <v>0</v>
      </c>
      <c r="R75" s="37">
        <f>-E75*Geo_DCF!$B$22*(1+Geo_DCF!$B$18)^(Geo_DCF!A75)</f>
        <v>0</v>
      </c>
      <c r="S75" s="37">
        <f>-R75*Geo_DCF!$B$10</f>
        <v>0</v>
      </c>
      <c r="T75" s="40">
        <f t="shared" si="6"/>
        <v>0</v>
      </c>
      <c r="U75" s="40">
        <f t="shared" si="7"/>
        <v>0</v>
      </c>
      <c r="V75" s="38">
        <f t="shared" si="1"/>
        <v>0</v>
      </c>
      <c r="W75" s="40">
        <f>Baseline_DCF!U75</f>
        <v>0</v>
      </c>
      <c r="X75" s="40">
        <f t="shared" si="8"/>
        <v>0</v>
      </c>
      <c r="Y75" s="38">
        <f t="shared" si="2"/>
        <v>0</v>
      </c>
      <c r="Z75" s="40">
        <f t="shared" si="3"/>
        <v>0</v>
      </c>
    </row>
    <row r="76" spans="1:26" ht="14.4" x14ac:dyDescent="0.3">
      <c r="A76" s="35">
        <f t="shared" si="4"/>
        <v>27</v>
      </c>
      <c r="B76" s="44">
        <f>1/(1+Geo_DCF!$B$9)^A76</f>
        <v>7.6277684443854576E-2</v>
      </c>
      <c r="C76" s="36">
        <f>IF(A76&lt;(Geo_DCF!$B$7+1),1,0)</f>
        <v>0</v>
      </c>
      <c r="D76" s="36">
        <f>IF(A76&lt;(Geo_DCF!$B$11+1),1,0)</f>
        <v>0</v>
      </c>
      <c r="E76" s="36">
        <f>IF(A76&lt;(Geo_DCF!$B$12+1),1,0)</f>
        <v>0</v>
      </c>
      <c r="F76" s="37">
        <f xml:space="preserve"> -Geo_DCF!$B$33*D76</f>
        <v>0</v>
      </c>
      <c r="G76" s="40">
        <f>-F76*Geo_DCF!$B$10</f>
        <v>0</v>
      </c>
      <c r="H76" s="40">
        <f>-Geo_DCF!$B$29*C76</f>
        <v>0</v>
      </c>
      <c r="I76" s="37">
        <f t="shared" si="10"/>
        <v>-8.9796066739424644E-9</v>
      </c>
      <c r="J76" s="37">
        <f t="shared" si="0"/>
        <v>-9.6530771744881488E-9</v>
      </c>
      <c r="K76" s="37">
        <f>-I76*Geo_DCF!$B$8</f>
        <v>6.7347050054568485E-10</v>
      </c>
      <c r="L76" s="40">
        <f>-(K76*Geo_DCF!$B$10)</f>
        <v>0</v>
      </c>
      <c r="M76" s="37">
        <f>-Geo_DCF!$B$15*Geo_DCF!$B$24*E76*(1+Geo_DCF!$B$16)^A76</f>
        <v>0</v>
      </c>
      <c r="N76" s="37">
        <f>M76*Geo_DCF!$B$10</f>
        <v>0</v>
      </c>
      <c r="O76" s="37">
        <f>-E76*Geo_DCF!$D$23*Geo_DCF!$B$14*(1+Geo_DCF!$B$16)^A76</f>
        <v>0</v>
      </c>
      <c r="P76" s="37">
        <f>O76*Geo_DCF!$B$10</f>
        <v>0</v>
      </c>
      <c r="Q76" s="40">
        <f t="shared" si="5"/>
        <v>0</v>
      </c>
      <c r="R76" s="37">
        <f>-E76*Geo_DCF!$B$22*(1+Geo_DCF!$B$18)^(Geo_DCF!A76)</f>
        <v>0</v>
      </c>
      <c r="S76" s="37">
        <f>-R76*Geo_DCF!$B$10</f>
        <v>0</v>
      </c>
      <c r="T76" s="40">
        <f t="shared" si="6"/>
        <v>0</v>
      </c>
      <c r="U76" s="40">
        <f t="shared" si="7"/>
        <v>0</v>
      </c>
      <c r="V76" s="38">
        <f t="shared" si="1"/>
        <v>0</v>
      </c>
      <c r="W76" s="40">
        <f>Baseline_DCF!U76</f>
        <v>0</v>
      </c>
      <c r="X76" s="40">
        <f t="shared" si="8"/>
        <v>0</v>
      </c>
      <c r="Y76" s="38">
        <f t="shared" si="2"/>
        <v>0</v>
      </c>
      <c r="Z76" s="40">
        <f t="shared" si="3"/>
        <v>0</v>
      </c>
    </row>
    <row r="77" spans="1:26" ht="14.4" x14ac:dyDescent="0.3">
      <c r="A77" s="35">
        <f t="shared" si="4"/>
        <v>28</v>
      </c>
      <c r="B77" s="44">
        <f>1/(1+Geo_DCF!$B$9)^A77</f>
        <v>6.9343349494413245E-2</v>
      </c>
      <c r="C77" s="36">
        <f>IF(A77&lt;(Geo_DCF!$B$7+1),1,0)</f>
        <v>0</v>
      </c>
      <c r="D77" s="36">
        <f>IF(A77&lt;(Geo_DCF!$B$11+1),1,0)</f>
        <v>0</v>
      </c>
      <c r="E77" s="36">
        <f>IF(A77&lt;(Geo_DCF!$B$12+1),1,0)</f>
        <v>0</v>
      </c>
      <c r="F77" s="37">
        <f xml:space="preserve"> -Geo_DCF!$B$33*D77</f>
        <v>0</v>
      </c>
      <c r="G77" s="40">
        <f>-F77*Geo_DCF!$B$10</f>
        <v>0</v>
      </c>
      <c r="H77" s="40">
        <f>-Geo_DCF!$B$29*C77</f>
        <v>0</v>
      </c>
      <c r="I77" s="37">
        <f t="shared" si="10"/>
        <v>-9.6530771744881488E-9</v>
      </c>
      <c r="J77" s="37">
        <f t="shared" si="0"/>
        <v>-1.037705796257476E-8</v>
      </c>
      <c r="K77" s="37">
        <f>-I77*Geo_DCF!$B$8</f>
        <v>7.2398078808661112E-10</v>
      </c>
      <c r="L77" s="40">
        <f>-(K77*Geo_DCF!$B$10)</f>
        <v>0</v>
      </c>
      <c r="M77" s="37">
        <f>-Geo_DCF!$B$15*Geo_DCF!$B$24*E77*(1+Geo_DCF!$B$16)^A77</f>
        <v>0</v>
      </c>
      <c r="N77" s="37">
        <f>M77*Geo_DCF!$B$10</f>
        <v>0</v>
      </c>
      <c r="O77" s="37">
        <f>-E77*Geo_DCF!$D$23*Geo_DCF!$B$14*(1+Geo_DCF!$B$16)^A77</f>
        <v>0</v>
      </c>
      <c r="P77" s="37">
        <f>O77*Geo_DCF!$B$10</f>
        <v>0</v>
      </c>
      <c r="Q77" s="40">
        <f t="shared" si="5"/>
        <v>0</v>
      </c>
      <c r="R77" s="37">
        <f>-E77*Geo_DCF!$B$22*(1+Geo_DCF!$B$18)^(Geo_DCF!A77)</f>
        <v>0</v>
      </c>
      <c r="S77" s="37">
        <f>-R77*Geo_DCF!$B$10</f>
        <v>0</v>
      </c>
      <c r="T77" s="40">
        <f t="shared" si="6"/>
        <v>0</v>
      </c>
      <c r="U77" s="40">
        <f t="shared" si="7"/>
        <v>0</v>
      </c>
      <c r="V77" s="38">
        <f t="shared" si="1"/>
        <v>0</v>
      </c>
      <c r="W77" s="40">
        <f>Baseline_DCF!U77</f>
        <v>0</v>
      </c>
      <c r="X77" s="40">
        <f t="shared" si="8"/>
        <v>0</v>
      </c>
      <c r="Y77" s="38">
        <f t="shared" si="2"/>
        <v>0</v>
      </c>
      <c r="Z77" s="40">
        <f t="shared" si="3"/>
        <v>0</v>
      </c>
    </row>
    <row r="78" spans="1:26" ht="14.4" x14ac:dyDescent="0.3">
      <c r="A78" s="35">
        <f t="shared" si="4"/>
        <v>29</v>
      </c>
      <c r="B78" s="44">
        <f>1/(1+Geo_DCF!$B$9)^A78</f>
        <v>6.3039408631284766E-2</v>
      </c>
      <c r="C78" s="36">
        <f>IF(A78&lt;(Geo_DCF!$B$7+1),1,0)</f>
        <v>0</v>
      </c>
      <c r="D78" s="36">
        <f>IF(A78&lt;(Geo_DCF!$B$11+1),1,0)</f>
        <v>0</v>
      </c>
      <c r="E78" s="36">
        <f>IF(A78&lt;(Geo_DCF!$B$12+1),1,0)</f>
        <v>0</v>
      </c>
      <c r="F78" s="37">
        <f xml:space="preserve"> -Geo_DCF!$B$33*D78</f>
        <v>0</v>
      </c>
      <c r="G78" s="40">
        <f>-F78*Geo_DCF!$B$10</f>
        <v>0</v>
      </c>
      <c r="H78" s="40">
        <f>-Geo_DCF!$B$29*C78</f>
        <v>0</v>
      </c>
      <c r="I78" s="37">
        <f t="shared" si="10"/>
        <v>-1.037705796257476E-8</v>
      </c>
      <c r="J78" s="37">
        <f t="shared" si="0"/>
        <v>-1.1155337309767868E-8</v>
      </c>
      <c r="K78" s="37">
        <f>-I78*Geo_DCF!$B$8</f>
        <v>7.7827934719310696E-10</v>
      </c>
      <c r="L78" s="40">
        <f>-(K78*Geo_DCF!$B$10)</f>
        <v>0</v>
      </c>
      <c r="M78" s="37">
        <f>-Geo_DCF!$B$15*Geo_DCF!$B$24*E78*(1+Geo_DCF!$B$16)^A78</f>
        <v>0</v>
      </c>
      <c r="N78" s="37">
        <f>M78*Geo_DCF!$B$10</f>
        <v>0</v>
      </c>
      <c r="O78" s="37">
        <f>-E78*Geo_DCF!$D$23*Geo_DCF!$B$14*(1+Geo_DCF!$B$16)^A78</f>
        <v>0</v>
      </c>
      <c r="P78" s="37">
        <f>O78*Geo_DCF!$B$10</f>
        <v>0</v>
      </c>
      <c r="Q78" s="40">
        <f t="shared" si="5"/>
        <v>0</v>
      </c>
      <c r="R78" s="37">
        <f>-E78*Geo_DCF!$B$22*(1+Geo_DCF!$B$18)^(Geo_DCF!A78)</f>
        <v>0</v>
      </c>
      <c r="S78" s="37">
        <f>-R78*Geo_DCF!$B$10</f>
        <v>0</v>
      </c>
      <c r="T78" s="40">
        <f t="shared" si="6"/>
        <v>0</v>
      </c>
      <c r="U78" s="40">
        <f t="shared" si="7"/>
        <v>0</v>
      </c>
      <c r="V78" s="38">
        <f t="shared" si="1"/>
        <v>0</v>
      </c>
      <c r="W78" s="40">
        <f>Baseline_DCF!U78</f>
        <v>0</v>
      </c>
      <c r="X78" s="40">
        <f t="shared" si="8"/>
        <v>0</v>
      </c>
      <c r="Y78" s="38">
        <f t="shared" si="2"/>
        <v>0</v>
      </c>
      <c r="Z78" s="40">
        <f t="shared" si="3"/>
        <v>0</v>
      </c>
    </row>
    <row r="79" spans="1:26" ht="14.4" x14ac:dyDescent="0.3">
      <c r="A79" s="35">
        <f t="shared" si="4"/>
        <v>30</v>
      </c>
      <c r="B79" s="44">
        <f>1/(1+Geo_DCF!$B$9)^A79</f>
        <v>5.7308553301167964E-2</v>
      </c>
      <c r="C79" s="36">
        <f>IF(A79&lt;(Geo_DCF!$B$7+1),1,0)</f>
        <v>0</v>
      </c>
      <c r="D79" s="36">
        <f>IF(A79&lt;(Geo_DCF!$B$11+1),1,0)</f>
        <v>0</v>
      </c>
      <c r="E79" s="36">
        <f>IF(A79&lt;(Geo_DCF!$B$12+1),1,0)</f>
        <v>0</v>
      </c>
      <c r="F79" s="37">
        <f xml:space="preserve"> -Geo_DCF!$B$33*D79</f>
        <v>0</v>
      </c>
      <c r="G79" s="40">
        <f>-F79*Geo_DCF!$B$10</f>
        <v>0</v>
      </c>
      <c r="H79" s="40">
        <f>-Geo_DCF!$B$29*C79</f>
        <v>0</v>
      </c>
      <c r="I79" s="37">
        <f t="shared" si="10"/>
        <v>-1.1155337309767868E-8</v>
      </c>
      <c r="J79" s="37">
        <f t="shared" si="0"/>
        <v>-1.1991987608000458E-8</v>
      </c>
      <c r="K79" s="37">
        <f>-I79*Geo_DCF!$B$8</f>
        <v>8.3665029823259006E-10</v>
      </c>
      <c r="L79" s="40">
        <f>-(K79*Geo_DCF!$B$10)</f>
        <v>0</v>
      </c>
      <c r="M79" s="37">
        <f>-Geo_DCF!$B$15*Geo_DCF!$B$24*E79*(1+Geo_DCF!$B$16)^A79</f>
        <v>0</v>
      </c>
      <c r="N79" s="37">
        <f>M79*Geo_DCF!$B$10</f>
        <v>0</v>
      </c>
      <c r="O79" s="37">
        <f>-E79*Geo_DCF!$D$23*Geo_DCF!$B$14*(1+Geo_DCF!$B$16)^A79</f>
        <v>0</v>
      </c>
      <c r="P79" s="37">
        <f>O79*Geo_DCF!$B$10</f>
        <v>0</v>
      </c>
      <c r="Q79" s="40">
        <f t="shared" si="5"/>
        <v>0</v>
      </c>
      <c r="R79" s="37">
        <f>-E79*Geo_DCF!$B$22*(1+Geo_DCF!$B$18)^(Geo_DCF!A79)</f>
        <v>0</v>
      </c>
      <c r="S79" s="37">
        <f>-R79*Geo_DCF!$B$10</f>
        <v>0</v>
      </c>
      <c r="T79" s="40">
        <f t="shared" si="6"/>
        <v>0</v>
      </c>
      <c r="U79" s="40">
        <f t="shared" si="7"/>
        <v>0</v>
      </c>
      <c r="V79" s="38">
        <f t="shared" si="1"/>
        <v>0</v>
      </c>
      <c r="W79" s="40">
        <f>Baseline_DCF!U79</f>
        <v>0</v>
      </c>
      <c r="X79" s="40">
        <f t="shared" si="8"/>
        <v>0</v>
      </c>
      <c r="Y79" s="38">
        <f t="shared" si="2"/>
        <v>0</v>
      </c>
      <c r="Z79" s="40">
        <f t="shared" si="3"/>
        <v>0</v>
      </c>
    </row>
    <row r="80" spans="1:26" ht="14.4" x14ac:dyDescent="0.3">
      <c r="A80" s="35">
        <f t="shared" si="4"/>
        <v>31</v>
      </c>
      <c r="B80" s="44">
        <f>1/(1+Geo_DCF!$B$9)^A80</f>
        <v>5.2098684819243603E-2</v>
      </c>
      <c r="C80" s="36">
        <f>IF(A80&lt;(Geo_DCF!$B$7+1),1,0)</f>
        <v>0</v>
      </c>
      <c r="D80" s="36">
        <f>IF(A80&lt;(Geo_DCF!$B$11+1),1,0)</f>
        <v>0</v>
      </c>
      <c r="E80" s="36">
        <f>IF(A80&lt;(Geo_DCF!$B$12+1),1,0)</f>
        <v>0</v>
      </c>
      <c r="F80" s="37">
        <f xml:space="preserve"> -Geo_DCF!$B$33*D80</f>
        <v>0</v>
      </c>
      <c r="G80" s="40">
        <f>-F80*Geo_DCF!$B$10</f>
        <v>0</v>
      </c>
      <c r="H80" s="40">
        <f>-Geo_DCF!$B$29*C80</f>
        <v>0</v>
      </c>
      <c r="I80" s="37">
        <f t="shared" si="10"/>
        <v>-1.1991987608000458E-8</v>
      </c>
      <c r="J80" s="37">
        <f t="shared" si="0"/>
        <v>-1.2891386678600492E-8</v>
      </c>
      <c r="K80" s="37">
        <f>-I80*Geo_DCF!$B$8</f>
        <v>8.9939907060003434E-10</v>
      </c>
      <c r="L80" s="40">
        <f>-(K80*Geo_DCF!$B$10)</f>
        <v>0</v>
      </c>
      <c r="M80" s="37">
        <f>-Geo_DCF!$B$15*Geo_DCF!$B$24*E80*(1+Geo_DCF!$B$16)^A80</f>
        <v>0</v>
      </c>
      <c r="N80" s="37">
        <f>M80*Geo_DCF!$B$10</f>
        <v>0</v>
      </c>
      <c r="O80" s="37">
        <f>-E80*Geo_DCF!$D$23*Geo_DCF!$B$14*(1+Geo_DCF!$B$16)^A80</f>
        <v>0</v>
      </c>
      <c r="P80" s="37">
        <f>O80*Geo_DCF!$B$10</f>
        <v>0</v>
      </c>
      <c r="Q80" s="40">
        <f t="shared" si="5"/>
        <v>0</v>
      </c>
      <c r="R80" s="37">
        <f>-E80*Geo_DCF!$B$22*(1+Geo_DCF!$B$18)^(Geo_DCF!A80)</f>
        <v>0</v>
      </c>
      <c r="S80" s="37">
        <f>-R80*Geo_DCF!$B$10</f>
        <v>0</v>
      </c>
      <c r="T80" s="40">
        <f t="shared" si="6"/>
        <v>0</v>
      </c>
      <c r="U80" s="40">
        <f t="shared" si="7"/>
        <v>0</v>
      </c>
      <c r="V80" s="38">
        <f t="shared" si="1"/>
        <v>0</v>
      </c>
      <c r="W80" s="40">
        <f>Baseline_DCF!U80</f>
        <v>0</v>
      </c>
      <c r="X80" s="40">
        <f t="shared" si="8"/>
        <v>0</v>
      </c>
      <c r="Y80" s="38">
        <f t="shared" si="2"/>
        <v>0</v>
      </c>
      <c r="Z80" s="40">
        <f t="shared" si="3"/>
        <v>0</v>
      </c>
    </row>
    <row r="81" spans="1:26" ht="14.4" x14ac:dyDescent="0.3">
      <c r="A81" s="35">
        <f t="shared" si="4"/>
        <v>32</v>
      </c>
      <c r="B81" s="44">
        <f>1/(1+Geo_DCF!$B$9)^A81</f>
        <v>4.7362440744766907E-2</v>
      </c>
      <c r="C81" s="36">
        <f>IF(A81&lt;(Geo_DCF!$B$7+1),1,0)</f>
        <v>0</v>
      </c>
      <c r="D81" s="36">
        <f>IF(A81&lt;(Geo_DCF!$B$11+1),1,0)</f>
        <v>0</v>
      </c>
      <c r="E81" s="36">
        <f>IF(A81&lt;(Geo_DCF!$B$12+1),1,0)</f>
        <v>0</v>
      </c>
      <c r="F81" s="37">
        <f xml:space="preserve"> -Geo_DCF!$B$33*D81</f>
        <v>0</v>
      </c>
      <c r="G81" s="40">
        <f>-F81*Geo_DCF!$B$10</f>
        <v>0</v>
      </c>
      <c r="H81" s="40">
        <f>-Geo_DCF!$B$29*C81</f>
        <v>0</v>
      </c>
      <c r="I81" s="37">
        <f t="shared" si="10"/>
        <v>-1.2891386678600492E-8</v>
      </c>
      <c r="J81" s="37">
        <f t="shared" si="0"/>
        <v>-1.3858240679495529E-8</v>
      </c>
      <c r="K81" s="37">
        <f>-I81*Geo_DCF!$B$8</f>
        <v>9.6685400089503678E-10</v>
      </c>
      <c r="L81" s="40">
        <f>-(K81*Geo_DCF!$B$10)</f>
        <v>0</v>
      </c>
      <c r="M81" s="37">
        <f>-Geo_DCF!$B$15*Geo_DCF!$B$24*E81*(1+Geo_DCF!$B$16)^A81</f>
        <v>0</v>
      </c>
      <c r="N81" s="37">
        <f>M81*Geo_DCF!$B$10</f>
        <v>0</v>
      </c>
      <c r="O81" s="37">
        <f>-E81*Geo_DCF!$D$23*Geo_DCF!$B$14*(1+Geo_DCF!$B$16)^A81</f>
        <v>0</v>
      </c>
      <c r="P81" s="37">
        <f>O81*Geo_DCF!$B$10</f>
        <v>0</v>
      </c>
      <c r="Q81" s="40">
        <f t="shared" si="5"/>
        <v>0</v>
      </c>
      <c r="R81" s="37">
        <f>-E81*Geo_DCF!$B$22*(1+Geo_DCF!$B$18)^(Geo_DCF!A81)</f>
        <v>0</v>
      </c>
      <c r="S81" s="37">
        <f>-R81*Geo_DCF!$B$10</f>
        <v>0</v>
      </c>
      <c r="T81" s="40">
        <f t="shared" si="6"/>
        <v>0</v>
      </c>
      <c r="U81" s="40">
        <f t="shared" si="7"/>
        <v>0</v>
      </c>
      <c r="V81" s="38">
        <f t="shared" si="1"/>
        <v>0</v>
      </c>
      <c r="W81" s="40">
        <f>Baseline_DCF!U81</f>
        <v>0</v>
      </c>
      <c r="X81" s="40">
        <f t="shared" si="8"/>
        <v>0</v>
      </c>
      <c r="Y81" s="38">
        <f t="shared" si="2"/>
        <v>0</v>
      </c>
      <c r="Z81" s="40">
        <f t="shared" si="3"/>
        <v>0</v>
      </c>
    </row>
    <row r="82" spans="1:26" ht="14.4" x14ac:dyDescent="0.3">
      <c r="A82" s="35">
        <f t="shared" si="4"/>
        <v>33</v>
      </c>
      <c r="B82" s="44">
        <f>1/(1+Geo_DCF!$B$9)^A82</f>
        <v>4.3056764313424457E-2</v>
      </c>
      <c r="C82" s="36">
        <f>IF(A82&lt;(Geo_DCF!$B$7+1),1,0)</f>
        <v>0</v>
      </c>
      <c r="D82" s="36">
        <f>IF(A82&lt;(Geo_DCF!$B$11+1),1,0)</f>
        <v>0</v>
      </c>
      <c r="E82" s="36">
        <f>IF(A82&lt;(Geo_DCF!$B$12+1),1,0)</f>
        <v>0</v>
      </c>
      <c r="F82" s="37">
        <f xml:space="preserve"> -Geo_DCF!$B$33*D82</f>
        <v>0</v>
      </c>
      <c r="G82" s="40">
        <f>-F82*Geo_DCF!$B$10</f>
        <v>0</v>
      </c>
      <c r="H82" s="40">
        <f>-Geo_DCF!$B$29*C82</f>
        <v>0</v>
      </c>
      <c r="I82" s="37">
        <f t="shared" si="10"/>
        <v>-1.3858240679495529E-8</v>
      </c>
      <c r="J82" s="37">
        <f t="shared" si="0"/>
        <v>-1.4897608730457693E-8</v>
      </c>
      <c r="K82" s="37">
        <f>-I82*Geo_DCF!$B$8</f>
        <v>1.0393680509621646E-9</v>
      </c>
      <c r="L82" s="40">
        <f>-(K82*Geo_DCF!$B$10)</f>
        <v>0</v>
      </c>
      <c r="M82" s="37">
        <f>-Geo_DCF!$B$15*Geo_DCF!$B$24*E82*(1+Geo_DCF!$B$16)^A82</f>
        <v>0</v>
      </c>
      <c r="N82" s="37">
        <f>M82*Geo_DCF!$B$10</f>
        <v>0</v>
      </c>
      <c r="O82" s="37">
        <f>-E82*Geo_DCF!$D$23*Geo_DCF!$B$14*(1+Geo_DCF!$B$16)^A82</f>
        <v>0</v>
      </c>
      <c r="P82" s="37">
        <f>O82*Geo_DCF!$B$10</f>
        <v>0</v>
      </c>
      <c r="Q82" s="40">
        <f t="shared" si="5"/>
        <v>0</v>
      </c>
      <c r="R82" s="37">
        <f>-E82*Geo_DCF!$B$22*(1+Geo_DCF!$B$18)^(Geo_DCF!A82)</f>
        <v>0</v>
      </c>
      <c r="S82" s="37">
        <f>-R82*Geo_DCF!$B$10</f>
        <v>0</v>
      </c>
      <c r="T82" s="40">
        <f t="shared" si="6"/>
        <v>0</v>
      </c>
      <c r="U82" s="40">
        <f t="shared" si="7"/>
        <v>0</v>
      </c>
      <c r="V82" s="38">
        <f t="shared" si="1"/>
        <v>0</v>
      </c>
      <c r="W82" s="40">
        <f>Baseline_DCF!U82</f>
        <v>0</v>
      </c>
      <c r="X82" s="40">
        <f t="shared" si="8"/>
        <v>0</v>
      </c>
      <c r="Y82" s="38">
        <f t="shared" si="2"/>
        <v>0</v>
      </c>
      <c r="Z82" s="40">
        <f t="shared" si="3"/>
        <v>0</v>
      </c>
    </row>
    <row r="83" spans="1:26" ht="14.4" x14ac:dyDescent="0.3">
      <c r="A83" s="35">
        <f t="shared" si="4"/>
        <v>34</v>
      </c>
      <c r="B83" s="44">
        <f>1/(1+Geo_DCF!$B$9)^A83</f>
        <v>3.9142513012204054E-2</v>
      </c>
      <c r="C83" s="36">
        <f>IF(A83&lt;(Geo_DCF!$B$7+1),1,0)</f>
        <v>0</v>
      </c>
      <c r="D83" s="36">
        <f>IF(A83&lt;(Geo_DCF!$B$11+1),1,0)</f>
        <v>0</v>
      </c>
      <c r="E83" s="36">
        <f>IF(A83&lt;(Geo_DCF!$B$12+1),1,0)</f>
        <v>0</v>
      </c>
      <c r="F83" s="37">
        <f xml:space="preserve"> -Geo_DCF!$B$33*D83</f>
        <v>0</v>
      </c>
      <c r="G83" s="40">
        <f>-F83*Geo_DCF!$B$10</f>
        <v>0</v>
      </c>
      <c r="H83" s="40">
        <f>-Geo_DCF!$B$29*C83</f>
        <v>0</v>
      </c>
      <c r="I83" s="37">
        <f t="shared" si="10"/>
        <v>-1.4897608730457693E-8</v>
      </c>
      <c r="J83" s="37">
        <f t="shared" si="0"/>
        <v>-1.6014929385242021E-8</v>
      </c>
      <c r="K83" s="37">
        <f>-I83*Geo_DCF!$B$8</f>
        <v>1.1173206547843269E-9</v>
      </c>
      <c r="L83" s="40">
        <f>-(K83*Geo_DCF!$B$10)</f>
        <v>0</v>
      </c>
      <c r="M83" s="37">
        <f>-Geo_DCF!$B$15*Geo_DCF!$B$24*E83*(1+Geo_DCF!$B$16)^A83</f>
        <v>0</v>
      </c>
      <c r="N83" s="37">
        <f>M83*Geo_DCF!$B$10</f>
        <v>0</v>
      </c>
      <c r="O83" s="37">
        <f>-E83*Geo_DCF!$D$23*Geo_DCF!$B$14*(1+Geo_DCF!$B$16)^A83</f>
        <v>0</v>
      </c>
      <c r="P83" s="37">
        <f>O83*Geo_DCF!$B$10</f>
        <v>0</v>
      </c>
      <c r="Q83" s="40">
        <f t="shared" si="5"/>
        <v>0</v>
      </c>
      <c r="R83" s="37">
        <f>-E83*Geo_DCF!$B$22*(1+Geo_DCF!$B$18)^(Geo_DCF!A83)</f>
        <v>0</v>
      </c>
      <c r="S83" s="37">
        <f>-R83*Geo_DCF!$B$10</f>
        <v>0</v>
      </c>
      <c r="T83" s="40">
        <f t="shared" si="6"/>
        <v>0</v>
      </c>
      <c r="U83" s="40">
        <f t="shared" si="7"/>
        <v>0</v>
      </c>
      <c r="V83" s="38">
        <f t="shared" si="1"/>
        <v>0</v>
      </c>
      <c r="W83" s="40">
        <f>Baseline_DCF!U83</f>
        <v>0</v>
      </c>
      <c r="X83" s="40">
        <f t="shared" si="8"/>
        <v>0</v>
      </c>
      <c r="Y83" s="38">
        <f t="shared" si="2"/>
        <v>0</v>
      </c>
      <c r="Z83" s="40">
        <f t="shared" si="3"/>
        <v>0</v>
      </c>
    </row>
    <row r="84" spans="1:26" ht="14.4" x14ac:dyDescent="0.3">
      <c r="A84" s="35">
        <f t="shared" si="4"/>
        <v>35</v>
      </c>
      <c r="B84" s="44">
        <f>1/(1+Geo_DCF!$B$9)^A84</f>
        <v>3.5584102738367311E-2</v>
      </c>
      <c r="C84" s="36">
        <f>IF(A84&lt;(Geo_DCF!$B$7+1),1,0)</f>
        <v>0</v>
      </c>
      <c r="D84" s="36">
        <f>IF(A84&lt;(Geo_DCF!$B$11+1),1,0)</f>
        <v>0</v>
      </c>
      <c r="E84" s="36">
        <f>IF(A84&lt;(Geo_DCF!$B$12+1),1,0)</f>
        <v>0</v>
      </c>
      <c r="F84" s="37">
        <f xml:space="preserve"> -Geo_DCF!$B$33*D84</f>
        <v>0</v>
      </c>
      <c r="G84" s="40">
        <f>-F84*Geo_DCF!$B$10</f>
        <v>0</v>
      </c>
      <c r="H84" s="40">
        <f>-Geo_DCF!$B$29*C84</f>
        <v>0</v>
      </c>
      <c r="I84" s="37">
        <f t="shared" si="10"/>
        <v>-1.6014929385242021E-8</v>
      </c>
      <c r="J84" s="37">
        <f t="shared" si="0"/>
        <v>-1.7216049089135172E-8</v>
      </c>
      <c r="K84" s="37">
        <f>-I84*Geo_DCF!$B$8</f>
        <v>1.2011197038931516E-9</v>
      </c>
      <c r="L84" s="40">
        <f>-(K84*Geo_DCF!$B$10)</f>
        <v>0</v>
      </c>
      <c r="M84" s="37">
        <f>-Geo_DCF!$B$15*Geo_DCF!$B$24*E84*(1+Geo_DCF!$B$16)^A84</f>
        <v>0</v>
      </c>
      <c r="N84" s="37">
        <f>M84*Geo_DCF!$B$10</f>
        <v>0</v>
      </c>
      <c r="O84" s="37">
        <f>-E84*Geo_DCF!$D$23*Geo_DCF!$B$14*(1+Geo_DCF!$B$16)^A84</f>
        <v>0</v>
      </c>
      <c r="P84" s="37">
        <f>O84*Geo_DCF!$B$10</f>
        <v>0</v>
      </c>
      <c r="Q84" s="40">
        <f t="shared" si="5"/>
        <v>0</v>
      </c>
      <c r="R84" s="37">
        <f>-E84*Geo_DCF!$B$22*(1+Geo_DCF!$B$18)^(Geo_DCF!A84)</f>
        <v>0</v>
      </c>
      <c r="S84" s="37">
        <f>-R84*Geo_DCF!$B$10</f>
        <v>0</v>
      </c>
      <c r="T84" s="40">
        <f t="shared" si="6"/>
        <v>0</v>
      </c>
      <c r="U84" s="40">
        <f t="shared" si="7"/>
        <v>0</v>
      </c>
      <c r="V84" s="38">
        <f t="shared" si="1"/>
        <v>0</v>
      </c>
      <c r="W84" s="40">
        <f>Baseline_DCF!U84</f>
        <v>0</v>
      </c>
      <c r="X84" s="40">
        <f t="shared" si="8"/>
        <v>0</v>
      </c>
      <c r="Y84" s="38">
        <f t="shared" si="2"/>
        <v>0</v>
      </c>
      <c r="Z84" s="40">
        <f t="shared" si="3"/>
        <v>0</v>
      </c>
    </row>
    <row r="85" spans="1:26" ht="14.4" x14ac:dyDescent="0.3">
      <c r="A85" s="35">
        <f t="shared" si="4"/>
        <v>36</v>
      </c>
      <c r="B85" s="44">
        <f>1/(1+Geo_DCF!$B$9)^A85</f>
        <v>3.2349184307606652E-2</v>
      </c>
      <c r="C85" s="36">
        <f>IF(A85&lt;(Geo_DCF!$B$7+1),1,0)</f>
        <v>0</v>
      </c>
      <c r="D85" s="36">
        <f>IF(A85&lt;(Geo_DCF!$B$11+1),1,0)</f>
        <v>0</v>
      </c>
      <c r="E85" s="36">
        <f>IF(A85&lt;(Geo_DCF!$B$12+1),1,0)</f>
        <v>0</v>
      </c>
      <c r="F85" s="37">
        <f xml:space="preserve"> -Geo_DCF!$B$33*D85</f>
        <v>0</v>
      </c>
      <c r="G85" s="40">
        <f>-F85*Geo_DCF!$B$10</f>
        <v>0</v>
      </c>
      <c r="H85" s="40">
        <f>-Geo_DCF!$B$29*C85</f>
        <v>0</v>
      </c>
      <c r="I85" s="37">
        <f t="shared" si="10"/>
        <v>-1.7216049089135172E-8</v>
      </c>
      <c r="J85" s="37">
        <f t="shared" si="0"/>
        <v>-1.850725277082031E-8</v>
      </c>
      <c r="K85" s="37">
        <f>-I85*Geo_DCF!$B$8</f>
        <v>1.2912036816851378E-9</v>
      </c>
      <c r="L85" s="40">
        <f>-(K85*Geo_DCF!$B$10)</f>
        <v>0</v>
      </c>
      <c r="M85" s="37">
        <f>-Geo_DCF!$B$15*Geo_DCF!$B$24*E85*(1+Geo_DCF!$B$16)^A85</f>
        <v>0</v>
      </c>
      <c r="N85" s="37">
        <f>M85*Geo_DCF!$B$10</f>
        <v>0</v>
      </c>
      <c r="O85" s="37">
        <f>-E85*Geo_DCF!$D$23*Geo_DCF!$B$14*(1+Geo_DCF!$B$16)^A85</f>
        <v>0</v>
      </c>
      <c r="P85" s="37">
        <f>O85*Geo_DCF!$B$10</f>
        <v>0</v>
      </c>
      <c r="Q85" s="40">
        <f t="shared" si="5"/>
        <v>0</v>
      </c>
      <c r="R85" s="37">
        <f>-E85*Geo_DCF!$B$22*(1+Geo_DCF!$B$18)^(Geo_DCF!A85)</f>
        <v>0</v>
      </c>
      <c r="S85" s="37">
        <f>-R85*Geo_DCF!$B$10</f>
        <v>0</v>
      </c>
      <c r="T85" s="40">
        <f t="shared" si="6"/>
        <v>0</v>
      </c>
      <c r="U85" s="40">
        <f t="shared" si="7"/>
        <v>0</v>
      </c>
      <c r="V85" s="38">
        <f t="shared" si="1"/>
        <v>0</v>
      </c>
      <c r="W85" s="40">
        <f>Baseline_DCF!U85</f>
        <v>0</v>
      </c>
      <c r="X85" s="40">
        <f t="shared" si="8"/>
        <v>0</v>
      </c>
      <c r="Y85" s="38">
        <f t="shared" si="2"/>
        <v>0</v>
      </c>
      <c r="Z85" s="40">
        <f t="shared" si="3"/>
        <v>0</v>
      </c>
    </row>
    <row r="86" spans="1:26" ht="14.4" x14ac:dyDescent="0.3">
      <c r="A86" s="35">
        <f t="shared" si="4"/>
        <v>37</v>
      </c>
      <c r="B86" s="44">
        <f>1/(1+Geo_DCF!$B$9)^A86</f>
        <v>2.94083493705515E-2</v>
      </c>
      <c r="C86" s="36">
        <f>IF(A86&lt;(Geo_DCF!$B$7+1),1,0)</f>
        <v>0</v>
      </c>
      <c r="D86" s="36">
        <f>IF(A86&lt;(Geo_DCF!$B$11+1),1,0)</f>
        <v>0</v>
      </c>
      <c r="E86" s="36">
        <f>IF(A86&lt;(Geo_DCF!$B$12+1),1,0)</f>
        <v>0</v>
      </c>
      <c r="F86" s="37">
        <f xml:space="preserve"> -Geo_DCF!$B$33*D86</f>
        <v>0</v>
      </c>
      <c r="G86" s="40">
        <f>-F86*Geo_DCF!$B$10</f>
        <v>0</v>
      </c>
      <c r="H86" s="40">
        <f>-Geo_DCF!$B$29*C86</f>
        <v>0</v>
      </c>
      <c r="I86" s="37">
        <f t="shared" si="10"/>
        <v>-1.850725277082031E-8</v>
      </c>
      <c r="J86" s="37">
        <f t="shared" si="0"/>
        <v>-1.9895296728631832E-8</v>
      </c>
      <c r="K86" s="37">
        <f>-I86*Geo_DCF!$B$8</f>
        <v>1.3880439578115232E-9</v>
      </c>
      <c r="L86" s="40">
        <f>-(K86*Geo_DCF!$B$10)</f>
        <v>0</v>
      </c>
      <c r="M86" s="37">
        <f>-Geo_DCF!$B$15*Geo_DCF!$B$24*E86*(1+Geo_DCF!$B$16)^A86</f>
        <v>0</v>
      </c>
      <c r="N86" s="37">
        <f>M86*Geo_DCF!$B$10</f>
        <v>0</v>
      </c>
      <c r="O86" s="37">
        <f>-E86*Geo_DCF!$D$23*Geo_DCF!$B$14*(1+Geo_DCF!$B$16)^A86</f>
        <v>0</v>
      </c>
      <c r="P86" s="37">
        <f>O86*Geo_DCF!$B$10</f>
        <v>0</v>
      </c>
      <c r="Q86" s="40">
        <f t="shared" si="5"/>
        <v>0</v>
      </c>
      <c r="R86" s="37">
        <f>-E86*Geo_DCF!$B$22*(1+Geo_DCF!$B$18)^(Geo_DCF!A86)</f>
        <v>0</v>
      </c>
      <c r="S86" s="37">
        <f>-R86*Geo_DCF!$B$10</f>
        <v>0</v>
      </c>
      <c r="T86" s="40">
        <f t="shared" si="6"/>
        <v>0</v>
      </c>
      <c r="U86" s="40">
        <f t="shared" si="7"/>
        <v>0</v>
      </c>
      <c r="V86" s="38">
        <f t="shared" si="1"/>
        <v>0</v>
      </c>
      <c r="W86" s="40">
        <f>Baseline_DCF!U86</f>
        <v>0</v>
      </c>
      <c r="X86" s="40">
        <f t="shared" si="8"/>
        <v>0</v>
      </c>
      <c r="Y86" s="38">
        <f t="shared" si="2"/>
        <v>0</v>
      </c>
      <c r="Z86" s="40">
        <f t="shared" si="3"/>
        <v>0</v>
      </c>
    </row>
    <row r="87" spans="1:26" ht="14.4" x14ac:dyDescent="0.3">
      <c r="A87" s="35">
        <f t="shared" si="4"/>
        <v>38</v>
      </c>
      <c r="B87" s="44">
        <f>1/(1+Geo_DCF!$B$9)^A87</f>
        <v>2.6734863064137721E-2</v>
      </c>
      <c r="C87" s="36">
        <f>IF(A87&lt;(Geo_DCF!$B$7+1),1,0)</f>
        <v>0</v>
      </c>
      <c r="D87" s="36">
        <f>IF(A87&lt;(Geo_DCF!$B$11+1),1,0)</f>
        <v>0</v>
      </c>
      <c r="E87" s="36">
        <f>IF(A87&lt;(Geo_DCF!$B$12+1),1,0)</f>
        <v>0</v>
      </c>
      <c r="F87" s="37">
        <f xml:space="preserve"> -Geo_DCF!$B$33*D87</f>
        <v>0</v>
      </c>
      <c r="G87" s="40">
        <f>-F87*Geo_DCF!$B$10</f>
        <v>0</v>
      </c>
      <c r="H87" s="40">
        <f>-Geo_DCF!$B$29*C87</f>
        <v>0</v>
      </c>
      <c r="I87" s="37">
        <f t="shared" si="10"/>
        <v>-1.9895296728631832E-8</v>
      </c>
      <c r="J87" s="37">
        <f t="shared" si="0"/>
        <v>-2.138744398327922E-8</v>
      </c>
      <c r="K87" s="37">
        <f>-I87*Geo_DCF!$B$8</f>
        <v>1.4921472546473873E-9</v>
      </c>
      <c r="L87" s="40">
        <f>-(K87*Geo_DCF!$B$10)</f>
        <v>0</v>
      </c>
      <c r="M87" s="37">
        <f>-Geo_DCF!$B$15*Geo_DCF!$B$24*E87*(1+Geo_DCF!$B$16)^A87</f>
        <v>0</v>
      </c>
      <c r="N87" s="37">
        <f>M87*Geo_DCF!$B$10</f>
        <v>0</v>
      </c>
      <c r="O87" s="37">
        <f>-E87*Geo_DCF!$D$23*Geo_DCF!$B$14*(1+Geo_DCF!$B$16)^A87</f>
        <v>0</v>
      </c>
      <c r="P87" s="37">
        <f>O87*Geo_DCF!$B$10</f>
        <v>0</v>
      </c>
      <c r="Q87" s="40">
        <f t="shared" si="5"/>
        <v>0</v>
      </c>
      <c r="R87" s="37">
        <f>-E87*Geo_DCF!$B$22*(1+Geo_DCF!$B$18)^(Geo_DCF!A87)</f>
        <v>0</v>
      </c>
      <c r="S87" s="37">
        <f>-R87*Geo_DCF!$B$10</f>
        <v>0</v>
      </c>
      <c r="T87" s="40">
        <f t="shared" si="6"/>
        <v>0</v>
      </c>
      <c r="U87" s="40">
        <f t="shared" si="7"/>
        <v>0</v>
      </c>
      <c r="V87" s="38">
        <f t="shared" si="1"/>
        <v>0</v>
      </c>
      <c r="W87" s="40">
        <f>Baseline_DCF!U87</f>
        <v>0</v>
      </c>
      <c r="X87" s="40">
        <f t="shared" si="8"/>
        <v>0</v>
      </c>
      <c r="Y87" s="38">
        <f t="shared" si="2"/>
        <v>0</v>
      </c>
      <c r="Z87" s="40">
        <f t="shared" si="3"/>
        <v>0</v>
      </c>
    </row>
    <row r="88" spans="1:26" ht="14.4" x14ac:dyDescent="0.3">
      <c r="A88" s="35">
        <f t="shared" si="4"/>
        <v>39</v>
      </c>
      <c r="B88" s="44">
        <f>1/(1+Geo_DCF!$B$9)^A88</f>
        <v>2.4304420967397926E-2</v>
      </c>
      <c r="C88" s="36">
        <f>IF(A88&lt;(Geo_DCF!$B$7+1),1,0)</f>
        <v>0</v>
      </c>
      <c r="D88" s="36">
        <f>IF(A88&lt;(Geo_DCF!$B$11+1),1,0)</f>
        <v>0</v>
      </c>
      <c r="E88" s="36">
        <f>IF(A88&lt;(Geo_DCF!$B$12+1),1,0)</f>
        <v>0</v>
      </c>
      <c r="F88" s="37">
        <f xml:space="preserve"> -Geo_DCF!$B$33*D88</f>
        <v>0</v>
      </c>
      <c r="G88" s="40">
        <f>-F88*Geo_DCF!$B$10</f>
        <v>0</v>
      </c>
      <c r="H88" s="40">
        <f>-Geo_DCF!$B$29*C88</f>
        <v>0</v>
      </c>
      <c r="I88" s="37">
        <f t="shared" si="10"/>
        <v>-2.138744398327922E-8</v>
      </c>
      <c r="J88" s="37">
        <f t="shared" si="0"/>
        <v>-2.299150228202516E-8</v>
      </c>
      <c r="K88" s="37">
        <f>-I88*Geo_DCF!$B$8</f>
        <v>1.6040582987459415E-9</v>
      </c>
      <c r="L88" s="40">
        <f>-(K88*Geo_DCF!$B$10)</f>
        <v>0</v>
      </c>
      <c r="M88" s="37">
        <f>-Geo_DCF!$B$15*Geo_DCF!$B$24*E88*(1+Geo_DCF!$B$16)^A88</f>
        <v>0</v>
      </c>
      <c r="N88" s="37">
        <f>M88*Geo_DCF!$B$10</f>
        <v>0</v>
      </c>
      <c r="O88" s="37">
        <f>-E88*Geo_DCF!$D$23*Geo_DCF!$B$14*(1+Geo_DCF!$B$16)^A88</f>
        <v>0</v>
      </c>
      <c r="P88" s="37">
        <f>O88*Geo_DCF!$B$10</f>
        <v>0</v>
      </c>
      <c r="Q88" s="40">
        <f t="shared" si="5"/>
        <v>0</v>
      </c>
      <c r="R88" s="37">
        <f>-E88*Geo_DCF!$B$22*(1+Geo_DCF!$B$18)^(Geo_DCF!A88)</f>
        <v>0</v>
      </c>
      <c r="S88" s="37">
        <f>-R88*Geo_DCF!$B$10</f>
        <v>0</v>
      </c>
      <c r="T88" s="40">
        <f t="shared" si="6"/>
        <v>0</v>
      </c>
      <c r="U88" s="40">
        <f t="shared" si="7"/>
        <v>0</v>
      </c>
      <c r="V88" s="38">
        <f t="shared" si="1"/>
        <v>0</v>
      </c>
      <c r="W88" s="40">
        <f>Baseline_DCF!U88</f>
        <v>0</v>
      </c>
      <c r="X88" s="40">
        <f t="shared" si="8"/>
        <v>0</v>
      </c>
      <c r="Y88" s="38">
        <f t="shared" si="2"/>
        <v>0</v>
      </c>
      <c r="Z88" s="40">
        <f t="shared" si="3"/>
        <v>0</v>
      </c>
    </row>
    <row r="89" spans="1:26" ht="14.4" x14ac:dyDescent="0.3">
      <c r="A89" s="35">
        <f t="shared" si="4"/>
        <v>40</v>
      </c>
      <c r="B89" s="44">
        <f>1/(1+Geo_DCF!$B$9)^A89</f>
        <v>2.2094928152179935E-2</v>
      </c>
      <c r="C89" s="36">
        <f>IF(A89&lt;(Geo_DCF!$B$7+1),1,0)</f>
        <v>0</v>
      </c>
      <c r="D89" s="36">
        <f>IF(A89&lt;(Geo_DCF!$B$11+1),1,0)</f>
        <v>0</v>
      </c>
      <c r="E89" s="36">
        <f>IF(A89&lt;(Geo_DCF!$B$12+1),1,0)</f>
        <v>0</v>
      </c>
      <c r="F89" s="37">
        <f xml:space="preserve"> -Geo_DCF!$B$33*D89</f>
        <v>0</v>
      </c>
      <c r="G89" s="40">
        <f>-F89*Geo_DCF!$B$10</f>
        <v>0</v>
      </c>
      <c r="H89" s="40">
        <f>-Geo_DCF!$B$29*C89</f>
        <v>0</v>
      </c>
      <c r="I89" s="37">
        <f t="shared" si="10"/>
        <v>-2.299150228202516E-8</v>
      </c>
      <c r="J89" s="37">
        <f t="shared" si="0"/>
        <v>-2.4715864953177049E-8</v>
      </c>
      <c r="K89" s="37">
        <f>-I89*Geo_DCF!$B$8</f>
        <v>1.724362671151887E-9</v>
      </c>
      <c r="L89" s="40">
        <f>-(K89*Geo_DCF!$B$10)</f>
        <v>0</v>
      </c>
      <c r="M89" s="37">
        <f>-Geo_DCF!$B$15*Geo_DCF!$B$24*E89*(1+Geo_DCF!$B$16)^A89</f>
        <v>0</v>
      </c>
      <c r="N89" s="37">
        <f>M89*Geo_DCF!$B$10</f>
        <v>0</v>
      </c>
      <c r="O89" s="37">
        <f>-E89*Geo_DCF!$D$23*Geo_DCF!$B$14*(1+Geo_DCF!$B$16)^A89</f>
        <v>0</v>
      </c>
      <c r="P89" s="37">
        <f>O89*Geo_DCF!$B$10</f>
        <v>0</v>
      </c>
      <c r="Q89" s="40">
        <f t="shared" si="5"/>
        <v>0</v>
      </c>
      <c r="R89" s="37">
        <f>-E89*Geo_DCF!$B$22*(1+Geo_DCF!$B$18)^(Geo_DCF!A89)</f>
        <v>0</v>
      </c>
      <c r="S89" s="37">
        <f>-R89*Geo_DCF!$B$10</f>
        <v>0</v>
      </c>
      <c r="T89" s="40">
        <f t="shared" si="6"/>
        <v>0</v>
      </c>
      <c r="U89" s="40">
        <f t="shared" si="7"/>
        <v>0</v>
      </c>
      <c r="V89" s="38">
        <f t="shared" si="1"/>
        <v>0</v>
      </c>
      <c r="W89" s="40">
        <f>Baseline_DCF!U89</f>
        <v>0</v>
      </c>
      <c r="X89" s="40">
        <f t="shared" si="8"/>
        <v>0</v>
      </c>
      <c r="Y89" s="38">
        <f t="shared" si="2"/>
        <v>0</v>
      </c>
      <c r="Z89" s="40">
        <f t="shared" si="3"/>
        <v>0</v>
      </c>
    </row>
  </sheetData>
  <pageMargins left="0.75" right="0.75" top="1" bottom="1" header="0.5" footer="0.5"/>
  <pageSetup paperSize="9" orientation="portrait" r:id="rId1"/>
  <headerFooter alignWithMargins="0"/>
  <drawing r:id="rId2"/>
  <legacy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AC132"/>
  <sheetViews>
    <sheetView workbookViewId="0">
      <selection activeCell="AB49" sqref="AB49"/>
    </sheetView>
  </sheetViews>
  <sheetFormatPr defaultColWidth="9.109375" defaultRowHeight="13.2" x14ac:dyDescent="0.25"/>
  <cols>
    <col min="1" max="1" width="41.33203125" style="4" customWidth="1"/>
    <col min="2" max="52" width="12.6640625" style="4" customWidth="1"/>
    <col min="53" max="16384" width="9.109375" style="4"/>
  </cols>
  <sheetData>
    <row r="1" spans="1:9" ht="19.8" x14ac:dyDescent="0.25">
      <c r="A1" s="80" t="s">
        <v>118</v>
      </c>
      <c r="B1" s="330" t="str">
        <f>Other!A2</f>
        <v>Other</v>
      </c>
      <c r="C1" s="330"/>
      <c r="D1" s="330"/>
      <c r="E1" s="330"/>
      <c r="F1" s="330" t="str">
        <f>Other!A13</f>
        <v>Backup</v>
      </c>
      <c r="G1" s="330"/>
      <c r="H1" s="330"/>
      <c r="I1" s="330"/>
    </row>
    <row r="2" spans="1:9" x14ac:dyDescent="0.25">
      <c r="A2" s="5" t="s">
        <v>5</v>
      </c>
      <c r="B2" s="61">
        <f>Other!C4</f>
        <v>5000</v>
      </c>
      <c r="C2" s="6" t="s">
        <v>6</v>
      </c>
      <c r="D2" s="6"/>
      <c r="E2" s="6"/>
      <c r="F2" s="61">
        <f>Other!C14</f>
        <v>5000</v>
      </c>
      <c r="G2" s="6" t="s">
        <v>6</v>
      </c>
      <c r="H2" s="6"/>
      <c r="I2" s="6"/>
    </row>
    <row r="3" spans="1:9" x14ac:dyDescent="0.25">
      <c r="A3" s="5" t="s">
        <v>7</v>
      </c>
      <c r="B3" s="62">
        <f>Other!C3*Other!H7/(Other!C4*8760*0.0036)</f>
        <v>0.76103500761035003</v>
      </c>
      <c r="C3" s="6"/>
      <c r="D3" s="6"/>
      <c r="E3" s="6"/>
      <c r="F3" s="62">
        <f>IFERROR(('General Parameters'!C3-D22)/(F2*8760)/0.0036,0)</f>
        <v>0.19025875190258762</v>
      </c>
      <c r="G3" s="6"/>
      <c r="H3" s="6"/>
      <c r="I3" s="6"/>
    </row>
    <row r="4" spans="1:9" x14ac:dyDescent="0.25">
      <c r="A4" s="5" t="s">
        <v>8</v>
      </c>
      <c r="B4" s="63">
        <f>IFERROR(Other!C6/Other!C4,0)</f>
        <v>1637.9602799008203</v>
      </c>
      <c r="C4" s="6" t="s">
        <v>9</v>
      </c>
      <c r="D4" s="6"/>
      <c r="E4" s="6"/>
      <c r="F4" s="63">
        <f>IFERROR(Other!C16/Other!C14,0)</f>
        <v>242.8730294552355</v>
      </c>
      <c r="G4" s="6" t="s">
        <v>9</v>
      </c>
      <c r="H4" s="6"/>
      <c r="I4" s="6"/>
    </row>
    <row r="5" spans="1:9" x14ac:dyDescent="0.25">
      <c r="A5" s="5" t="s">
        <v>10</v>
      </c>
      <c r="B5" s="84">
        <f>'General Parameters'!C7</f>
        <v>0.6</v>
      </c>
      <c r="C5" s="6" t="s">
        <v>1</v>
      </c>
      <c r="D5" s="6"/>
      <c r="E5" s="6"/>
      <c r="F5" s="18">
        <f>'General Parameters'!C7</f>
        <v>0.6</v>
      </c>
      <c r="G5" s="6" t="s">
        <v>1</v>
      </c>
      <c r="H5" s="6"/>
      <c r="I5" s="6"/>
    </row>
    <row r="6" spans="1:9" x14ac:dyDescent="0.25">
      <c r="A6" s="5" t="s">
        <v>11</v>
      </c>
      <c r="B6" s="18">
        <f>'General Parameters'!C8</f>
        <v>10</v>
      </c>
      <c r="C6" s="6" t="s">
        <v>12</v>
      </c>
      <c r="D6" s="6"/>
      <c r="E6" s="6"/>
      <c r="F6" s="18">
        <f>'General Parameters'!C8</f>
        <v>10</v>
      </c>
      <c r="G6" s="6" t="s">
        <v>12</v>
      </c>
      <c r="H6" s="6"/>
      <c r="I6" s="6"/>
    </row>
    <row r="7" spans="1:9" ht="14.4" x14ac:dyDescent="0.3">
      <c r="A7" s="5" t="s">
        <v>13</v>
      </c>
      <c r="B7" s="66">
        <f>'General Parameters'!C9</f>
        <v>7.4999999999999997E-2</v>
      </c>
      <c r="C7" s="6" t="s">
        <v>14</v>
      </c>
      <c r="D7" s="6"/>
      <c r="E7" s="6"/>
      <c r="F7" s="66">
        <f>'General Parameters'!C9</f>
        <v>7.4999999999999997E-2</v>
      </c>
      <c r="G7" s="6" t="s">
        <v>14</v>
      </c>
      <c r="H7" s="6"/>
      <c r="I7" s="6"/>
    </row>
    <row r="8" spans="1:9" ht="14.4" x14ac:dyDescent="0.3">
      <c r="A8" s="5" t="s">
        <v>15</v>
      </c>
      <c r="B8" s="66">
        <f>'General Parameters'!C10</f>
        <v>0.1</v>
      </c>
      <c r="C8" s="6" t="s">
        <v>14</v>
      </c>
      <c r="D8" s="6"/>
      <c r="E8" s="6"/>
      <c r="F8" s="66">
        <f>'General Parameters'!C10</f>
        <v>0.1</v>
      </c>
      <c r="G8" s="6" t="s">
        <v>14</v>
      </c>
      <c r="H8" s="6"/>
      <c r="I8" s="6"/>
    </row>
    <row r="9" spans="1:9" ht="14.4" x14ac:dyDescent="0.3">
      <c r="A9" s="5" t="s">
        <v>16</v>
      </c>
      <c r="B9" s="65">
        <f>'General Parameters'!C11</f>
        <v>0</v>
      </c>
      <c r="C9" s="6" t="s">
        <v>14</v>
      </c>
      <c r="D9" s="6"/>
      <c r="E9" s="6"/>
      <c r="F9" s="65">
        <f>'General Parameters'!C11</f>
        <v>0</v>
      </c>
      <c r="G9" s="6" t="s">
        <v>14</v>
      </c>
      <c r="H9" s="6"/>
      <c r="I9" s="6"/>
    </row>
    <row r="10" spans="1:9" ht="14.4" x14ac:dyDescent="0.3">
      <c r="A10" s="5" t="s">
        <v>23</v>
      </c>
      <c r="B10" s="66">
        <f>'General Parameters'!C12</f>
        <v>2.5000000000000001E-2</v>
      </c>
      <c r="C10" s="6" t="s">
        <v>14</v>
      </c>
      <c r="D10" s="6"/>
      <c r="E10" s="6"/>
      <c r="F10" s="66">
        <f>'General Parameters'!C12</f>
        <v>2.5000000000000001E-2</v>
      </c>
      <c r="G10" s="6" t="s">
        <v>14</v>
      </c>
      <c r="H10" s="6"/>
      <c r="I10" s="6"/>
    </row>
    <row r="11" spans="1:9" x14ac:dyDescent="0.25">
      <c r="A11" s="5" t="s">
        <v>17</v>
      </c>
      <c r="B11" s="18">
        <f>'General Parameters'!C13</f>
        <v>15</v>
      </c>
      <c r="C11" s="6" t="s">
        <v>0</v>
      </c>
      <c r="D11" s="6"/>
      <c r="E11" s="6"/>
      <c r="F11" s="18">
        <f>'General Parameters'!C13</f>
        <v>15</v>
      </c>
      <c r="G11" s="6" t="s">
        <v>0</v>
      </c>
      <c r="H11" s="6"/>
      <c r="I11" s="6"/>
    </row>
    <row r="12" spans="1:9" x14ac:dyDescent="0.25">
      <c r="A12" s="5" t="s">
        <v>18</v>
      </c>
      <c r="B12" s="18">
        <f>'General Parameters'!C14</f>
        <v>20</v>
      </c>
      <c r="C12" s="6" t="s">
        <v>0</v>
      </c>
      <c r="D12" s="6"/>
      <c r="E12" s="6"/>
      <c r="F12" s="18">
        <f>'General Parameters'!C14</f>
        <v>20</v>
      </c>
      <c r="G12" s="6" t="s">
        <v>0</v>
      </c>
      <c r="H12" s="6"/>
      <c r="I12" s="6"/>
    </row>
    <row r="13" spans="1:9" ht="14.4" x14ac:dyDescent="0.3">
      <c r="A13" s="7" t="s">
        <v>19</v>
      </c>
      <c r="B13" s="64">
        <f>'General Parameters'!C15</f>
        <v>0.05</v>
      </c>
      <c r="C13" s="6"/>
      <c r="D13" s="6"/>
      <c r="E13" s="6"/>
      <c r="F13" s="64">
        <f>'General Parameters'!C15</f>
        <v>0.05</v>
      </c>
      <c r="G13" s="6"/>
      <c r="H13" s="6"/>
      <c r="I13" s="6"/>
    </row>
    <row r="14" spans="1:9" x14ac:dyDescent="0.25">
      <c r="A14" s="5" t="s">
        <v>37</v>
      </c>
      <c r="B14" s="18">
        <f>Other!C7</f>
        <v>0</v>
      </c>
      <c r="C14" s="6" t="s">
        <v>21</v>
      </c>
      <c r="D14" s="8">
        <f>B14*0.0036</f>
        <v>0</v>
      </c>
      <c r="E14" s="6" t="s">
        <v>20</v>
      </c>
      <c r="F14" s="18">
        <f>Other!C17</f>
        <v>0</v>
      </c>
      <c r="G14" s="6" t="s">
        <v>21</v>
      </c>
      <c r="H14" s="8">
        <f>F14*0.0036</f>
        <v>0</v>
      </c>
      <c r="I14" s="6" t="s">
        <v>20</v>
      </c>
    </row>
    <row r="15" spans="1:9" ht="14.4" x14ac:dyDescent="0.3">
      <c r="A15" s="67" t="s">
        <v>38</v>
      </c>
      <c r="B15" s="66">
        <f>Other!C8</f>
        <v>0.02</v>
      </c>
      <c r="C15" s="6" t="s">
        <v>14</v>
      </c>
      <c r="D15" s="6"/>
      <c r="E15" s="6"/>
      <c r="F15" s="66">
        <f>Other!C18</f>
        <v>0.02</v>
      </c>
      <c r="G15" s="6" t="s">
        <v>14</v>
      </c>
      <c r="H15" s="6"/>
      <c r="I15" s="6"/>
    </row>
    <row r="16" spans="1:9" x14ac:dyDescent="0.25">
      <c r="A16" s="5" t="s">
        <v>24</v>
      </c>
      <c r="B16" s="18">
        <f>Other!C10</f>
        <v>0</v>
      </c>
      <c r="C16" s="6" t="s">
        <v>21</v>
      </c>
      <c r="D16" s="6">
        <f>B16*0.0036</f>
        <v>0</v>
      </c>
      <c r="E16" s="6" t="s">
        <v>20</v>
      </c>
      <c r="F16" s="18">
        <f>Other!C20</f>
        <v>10</v>
      </c>
      <c r="G16" s="6" t="s">
        <v>21</v>
      </c>
      <c r="H16" s="6">
        <f>F16*0.0036</f>
        <v>3.5999999999999997E-2</v>
      </c>
      <c r="I16" s="6" t="s">
        <v>20</v>
      </c>
    </row>
    <row r="17" spans="1:13" ht="14.4" x14ac:dyDescent="0.3">
      <c r="A17" s="5" t="s">
        <v>25</v>
      </c>
      <c r="B17" s="66">
        <f>Other!C11</f>
        <v>2.5000000000000001E-2</v>
      </c>
      <c r="C17" s="6"/>
      <c r="D17" s="6"/>
      <c r="E17" s="6"/>
      <c r="F17" s="66">
        <f>Other!C21</f>
        <v>2.5000000000000001E-2</v>
      </c>
      <c r="G17" s="6"/>
      <c r="H17" s="6"/>
      <c r="I17" s="6"/>
    </row>
    <row r="18" spans="1:13" ht="14.4" x14ac:dyDescent="0.3">
      <c r="A18" s="5" t="s">
        <v>39</v>
      </c>
      <c r="B18" s="95">
        <f>Other!C12</f>
        <v>0.8</v>
      </c>
      <c r="C18" s="12"/>
      <c r="D18" s="12"/>
      <c r="E18" s="12"/>
      <c r="F18" s="95">
        <f>Other!C22</f>
        <v>0.8</v>
      </c>
      <c r="G18" s="12"/>
      <c r="H18" s="12"/>
      <c r="I18" s="12"/>
    </row>
    <row r="19" spans="1:13" ht="19.8" x14ac:dyDescent="0.25">
      <c r="A19" s="80" t="s">
        <v>115</v>
      </c>
      <c r="B19" s="330" t="str">
        <f>B1</f>
        <v>Other</v>
      </c>
      <c r="C19" s="330"/>
      <c r="D19" s="330"/>
      <c r="E19" s="330"/>
      <c r="F19" s="330" t="str">
        <f>F1</f>
        <v>Backup</v>
      </c>
      <c r="G19" s="330"/>
      <c r="H19" s="330"/>
      <c r="I19" s="330"/>
      <c r="J19" s="330" t="s">
        <v>116</v>
      </c>
      <c r="K19" s="330"/>
      <c r="L19" s="330"/>
      <c r="M19" s="330"/>
    </row>
    <row r="20" spans="1:13" x14ac:dyDescent="0.25">
      <c r="A20" s="5" t="s">
        <v>28</v>
      </c>
      <c r="B20" s="86">
        <f>B22/B18</f>
        <v>41666666.666666657</v>
      </c>
      <c r="C20" s="6" t="s">
        <v>29</v>
      </c>
      <c r="D20" s="86">
        <f>B20*0.0036</f>
        <v>149999.99999999997</v>
      </c>
      <c r="E20" s="6"/>
      <c r="F20" s="86">
        <f>F22/F18</f>
        <v>10416666.666666672</v>
      </c>
      <c r="G20" s="6" t="s">
        <v>29</v>
      </c>
      <c r="H20" s="86">
        <f>F20*0.0036</f>
        <v>37500.000000000015</v>
      </c>
      <c r="I20" s="6"/>
      <c r="J20" s="86">
        <f t="shared" ref="J20:J26" si="0">B20+F20</f>
        <v>52083333.333333328</v>
      </c>
      <c r="K20" s="6" t="s">
        <v>29</v>
      </c>
      <c r="L20" s="86">
        <f>J20*0.0036</f>
        <v>187499.99999999997</v>
      </c>
      <c r="M20" s="6"/>
    </row>
    <row r="21" spans="1:13" x14ac:dyDescent="0.25">
      <c r="A21" s="5" t="s">
        <v>30</v>
      </c>
      <c r="B21" s="85">
        <f>B20*B16*0.0036</f>
        <v>0</v>
      </c>
      <c r="C21" s="6"/>
      <c r="D21" s="6"/>
      <c r="E21" s="6"/>
      <c r="F21" s="85">
        <f>F20*F16*0.0036</f>
        <v>375000.00000000017</v>
      </c>
      <c r="G21" s="6"/>
      <c r="H21" s="6"/>
      <c r="I21" s="6"/>
      <c r="J21" s="85">
        <f t="shared" si="0"/>
        <v>375000.00000000017</v>
      </c>
      <c r="K21" s="6"/>
      <c r="L21" s="6"/>
      <c r="M21" s="6"/>
    </row>
    <row r="22" spans="1:13" x14ac:dyDescent="0.25">
      <c r="A22" s="5" t="s">
        <v>31</v>
      </c>
      <c r="B22" s="86">
        <f>B2*B3*365*24</f>
        <v>33333333.333333328</v>
      </c>
      <c r="C22" s="6" t="s">
        <v>29</v>
      </c>
      <c r="D22" s="86">
        <f>B22*0.0036</f>
        <v>119999.99999999999</v>
      </c>
      <c r="E22" s="6" t="s">
        <v>32</v>
      </c>
      <c r="F22" s="86">
        <f>F2*F3*365*24</f>
        <v>8333333.3333333377</v>
      </c>
      <c r="G22" s="6" t="s">
        <v>29</v>
      </c>
      <c r="H22" s="86">
        <f>F22*0.0036</f>
        <v>30000.000000000015</v>
      </c>
      <c r="I22" s="6" t="s">
        <v>32</v>
      </c>
      <c r="J22" s="86">
        <f t="shared" si="0"/>
        <v>41666666.666666664</v>
      </c>
      <c r="K22" s="6" t="s">
        <v>29</v>
      </c>
      <c r="L22" s="86">
        <f>J22*0.0036</f>
        <v>150000</v>
      </c>
      <c r="M22" s="6" t="s">
        <v>32</v>
      </c>
    </row>
    <row r="23" spans="1:13" x14ac:dyDescent="0.25">
      <c r="A23" s="5" t="s">
        <v>33</v>
      </c>
      <c r="B23" s="85">
        <f>B4*B2</f>
        <v>8189801.3995041018</v>
      </c>
      <c r="C23" s="6" t="s">
        <v>34</v>
      </c>
      <c r="D23" s="6"/>
      <c r="E23" s="6"/>
      <c r="F23" s="85">
        <f>F4*F2</f>
        <v>1214365.1472761775</v>
      </c>
      <c r="G23" s="6" t="s">
        <v>34</v>
      </c>
      <c r="H23" s="6"/>
      <c r="I23" s="6"/>
      <c r="J23" s="85">
        <f t="shared" si="0"/>
        <v>9404166.5467802789</v>
      </c>
      <c r="K23" s="6" t="s">
        <v>34</v>
      </c>
      <c r="L23" s="6"/>
      <c r="M23" s="6"/>
    </row>
    <row r="24" spans="1:13" x14ac:dyDescent="0.25">
      <c r="A24" s="5" t="s">
        <v>40</v>
      </c>
      <c r="B24" s="85">
        <f>B13*B23</f>
        <v>409490.06997520512</v>
      </c>
      <c r="C24" s="6" t="s">
        <v>34</v>
      </c>
      <c r="D24" s="6"/>
      <c r="E24" s="6"/>
      <c r="F24" s="85">
        <f>F13*F23</f>
        <v>60718.25736380888</v>
      </c>
      <c r="G24" s="6" t="s">
        <v>34</v>
      </c>
      <c r="H24" s="6"/>
      <c r="I24" s="6"/>
      <c r="J24" s="85">
        <f t="shared" si="0"/>
        <v>470208.32733901398</v>
      </c>
      <c r="K24" s="6" t="s">
        <v>34</v>
      </c>
      <c r="L24" s="6"/>
      <c r="M24" s="6"/>
    </row>
    <row r="25" spans="1:13" x14ac:dyDescent="0.25">
      <c r="A25" s="5" t="s">
        <v>41</v>
      </c>
      <c r="B25" s="85">
        <f>B23*B5</f>
        <v>4913880.8397024609</v>
      </c>
      <c r="C25" s="6" t="s">
        <v>34</v>
      </c>
      <c r="D25" s="6"/>
      <c r="E25" s="6"/>
      <c r="F25" s="85">
        <f>F23*F5</f>
        <v>728619.0883657065</v>
      </c>
      <c r="G25" s="6" t="s">
        <v>34</v>
      </c>
      <c r="H25" s="6"/>
      <c r="I25" s="6"/>
      <c r="J25" s="85">
        <f t="shared" si="0"/>
        <v>5642499.9280681675</v>
      </c>
      <c r="K25" s="6" t="s">
        <v>34</v>
      </c>
      <c r="L25" s="6"/>
      <c r="M25" s="6"/>
    </row>
    <row r="26" spans="1:13" x14ac:dyDescent="0.25">
      <c r="A26" s="5" t="s">
        <v>42</v>
      </c>
      <c r="B26" s="85">
        <f>B23-B25</f>
        <v>3275920.5598016409</v>
      </c>
      <c r="C26" s="6" t="s">
        <v>34</v>
      </c>
      <c r="D26" s="6"/>
      <c r="E26" s="6"/>
      <c r="F26" s="85">
        <f>F23-F25</f>
        <v>485746.05891047104</v>
      </c>
      <c r="G26" s="6" t="s">
        <v>34</v>
      </c>
      <c r="H26" s="6"/>
      <c r="I26" s="6"/>
      <c r="J26" s="85">
        <f t="shared" si="0"/>
        <v>3761666.6187121118</v>
      </c>
      <c r="K26" s="6" t="s">
        <v>34</v>
      </c>
      <c r="L26" s="6"/>
      <c r="M26" s="6"/>
    </row>
    <row r="27" spans="1:13" x14ac:dyDescent="0.25">
      <c r="A27" s="5" t="s">
        <v>43</v>
      </c>
      <c r="B27" s="20">
        <f>(B7*(1+B7)^B6)/((1+B7)^B6-1)</f>
        <v>0.14568592742612235</v>
      </c>
      <c r="C27" s="6" t="s">
        <v>14</v>
      </c>
      <c r="D27" s="6"/>
      <c r="E27" s="6"/>
      <c r="F27" s="20">
        <f>(F7*(1+F7)^F6)/((1+F7)^F6-1)</f>
        <v>0.14568592742612235</v>
      </c>
      <c r="G27" s="6" t="s">
        <v>14</v>
      </c>
      <c r="H27" s="6"/>
      <c r="I27" s="6"/>
      <c r="J27" s="90">
        <f>AVERAGE(B27,F27)</f>
        <v>0.14568592742612235</v>
      </c>
      <c r="K27" s="6" t="s">
        <v>14</v>
      </c>
      <c r="L27" s="6"/>
      <c r="M27" s="6"/>
    </row>
    <row r="28" spans="1:13" x14ac:dyDescent="0.25">
      <c r="A28" s="5" t="s">
        <v>44</v>
      </c>
      <c r="B28" s="85">
        <f>B27*B25</f>
        <v>715883.28739350592</v>
      </c>
      <c r="C28" s="6" t="s">
        <v>45</v>
      </c>
      <c r="D28" s="6"/>
      <c r="E28" s="6"/>
      <c r="F28" s="85">
        <f>F27*F25</f>
        <v>106149.54762893375</v>
      </c>
      <c r="G28" s="6" t="s">
        <v>45</v>
      </c>
      <c r="H28" s="6"/>
      <c r="I28" s="6"/>
      <c r="J28" s="85">
        <f>B28+F28</f>
        <v>822032.83502243971</v>
      </c>
      <c r="K28" s="6" t="s">
        <v>45</v>
      </c>
      <c r="L28" s="6"/>
      <c r="M28" s="6"/>
    </row>
    <row r="29" spans="1:13" x14ac:dyDescent="0.25">
      <c r="A29" s="5" t="s">
        <v>46</v>
      </c>
      <c r="B29" s="20">
        <f>(B8*(1+B8)^B12)/((1+B8)^B12-1)</f>
        <v>0.11745962477254576</v>
      </c>
      <c r="C29" s="6" t="s">
        <v>14</v>
      </c>
      <c r="D29" s="6"/>
      <c r="E29" s="6"/>
      <c r="F29" s="20">
        <f>(F8*(1+F8)^F12)/((1+F8)^F12-1)</f>
        <v>0.11745962477254576</v>
      </c>
      <c r="G29" s="6" t="s">
        <v>14</v>
      </c>
      <c r="H29" s="6"/>
      <c r="I29" s="6"/>
      <c r="J29" s="90">
        <f>AVERAGE(B29,F29)</f>
        <v>0.11745962477254576</v>
      </c>
      <c r="K29" s="6" t="s">
        <v>14</v>
      </c>
      <c r="L29" s="6"/>
      <c r="M29" s="6"/>
    </row>
    <row r="30" spans="1:13" x14ac:dyDescent="0.25">
      <c r="A30" s="5" t="s">
        <v>47</v>
      </c>
      <c r="B30" s="20">
        <f>(1+B8)/(1+B10)-1</f>
        <v>7.317073170731736E-2</v>
      </c>
      <c r="C30" s="6"/>
      <c r="D30" s="6"/>
      <c r="E30" s="6"/>
      <c r="F30" s="20">
        <f>(1+F8)/(1+F10)-1</f>
        <v>7.317073170731736E-2</v>
      </c>
      <c r="G30" s="6"/>
      <c r="H30" s="6"/>
      <c r="I30" s="6"/>
      <c r="J30" s="90">
        <f>AVERAGE(B30,F30)</f>
        <v>7.317073170731736E-2</v>
      </c>
      <c r="K30" s="6"/>
      <c r="L30" s="6"/>
      <c r="M30" s="6"/>
    </row>
    <row r="31" spans="1:13" x14ac:dyDescent="0.25">
      <c r="A31" s="5" t="s">
        <v>48</v>
      </c>
      <c r="B31" s="20">
        <f>(B30*(1+B30)^B12)/((1+B30)^B12-1)</f>
        <v>9.6731649089452268E-2</v>
      </c>
      <c r="C31" s="6"/>
      <c r="D31" s="6"/>
      <c r="E31" s="6"/>
      <c r="F31" s="20">
        <f>(F30*(1+F30)^F12)/((1+F30)^F12-1)</f>
        <v>9.6731649089452268E-2</v>
      </c>
      <c r="G31" s="6"/>
      <c r="H31" s="6"/>
      <c r="I31" s="6"/>
      <c r="J31" s="90">
        <f>AVERAGE(B31,F31)</f>
        <v>9.6731649089452268E-2</v>
      </c>
      <c r="K31" s="6"/>
      <c r="L31" s="6"/>
      <c r="M31" s="6"/>
    </row>
    <row r="32" spans="1:13" x14ac:dyDescent="0.25">
      <c r="A32" s="7" t="s">
        <v>49</v>
      </c>
      <c r="B32" s="19">
        <f>B23/B11</f>
        <v>545986.75996694015</v>
      </c>
      <c r="C32" s="6" t="s">
        <v>34</v>
      </c>
      <c r="D32" s="6"/>
      <c r="E32" s="6"/>
      <c r="F32" s="85">
        <f>F23/F11</f>
        <v>80957.676485078497</v>
      </c>
      <c r="G32" s="6" t="s">
        <v>34</v>
      </c>
      <c r="H32" s="6"/>
      <c r="I32" s="6"/>
      <c r="J32" s="85">
        <f>B32+F32</f>
        <v>626944.43645201868</v>
      </c>
      <c r="K32" s="6" t="s">
        <v>34</v>
      </c>
      <c r="L32" s="6"/>
      <c r="M32" s="6"/>
    </row>
    <row r="33" spans="1:29" x14ac:dyDescent="0.25">
      <c r="A33" s="5" t="s">
        <v>50</v>
      </c>
      <c r="B33" s="85">
        <f>-SUM(V50:V89)</f>
        <v>6031228.1858165944</v>
      </c>
      <c r="C33" s="6" t="s">
        <v>34</v>
      </c>
      <c r="D33" s="6"/>
      <c r="E33" s="6"/>
      <c r="F33" s="85">
        <f>-SUM(V93:V132)</f>
        <v>4771001.1149398321</v>
      </c>
      <c r="G33" s="6" t="s">
        <v>34</v>
      </c>
      <c r="H33" s="6"/>
      <c r="I33" s="6"/>
      <c r="J33" s="85">
        <f>B33+F33</f>
        <v>10802229.300756427</v>
      </c>
      <c r="K33" s="6" t="s">
        <v>34</v>
      </c>
      <c r="L33" s="177"/>
      <c r="M33" s="6"/>
    </row>
    <row r="34" spans="1:29" x14ac:dyDescent="0.25">
      <c r="A34" s="5" t="s">
        <v>51</v>
      </c>
      <c r="B34" s="85">
        <f>B24/(1+B8)^B12*(1-B9)</f>
        <v>60868.089640974875</v>
      </c>
      <c r="C34" s="6" t="s">
        <v>34</v>
      </c>
      <c r="D34" s="6"/>
      <c r="E34" s="6"/>
      <c r="F34" s="85">
        <f>F24/(1+F8)^F12*(1-F9)</f>
        <v>9025.3820618602185</v>
      </c>
      <c r="G34" s="6" t="s">
        <v>34</v>
      </c>
      <c r="H34" s="6"/>
      <c r="I34" s="6"/>
      <c r="J34" s="85">
        <f>B34+F34</f>
        <v>69893.471702835086</v>
      </c>
      <c r="K34" s="6" t="s">
        <v>34</v>
      </c>
      <c r="L34" s="6"/>
      <c r="M34" s="6"/>
    </row>
    <row r="35" spans="1:29" x14ac:dyDescent="0.25">
      <c r="A35" s="5" t="s">
        <v>52</v>
      </c>
      <c r="B35" s="85">
        <f>B23-B25+B33</f>
        <v>9307148.7456182353</v>
      </c>
      <c r="C35" s="6" t="s">
        <v>34</v>
      </c>
      <c r="D35" s="6"/>
      <c r="E35" s="6"/>
      <c r="F35" s="85">
        <f>F23-F25+F33</f>
        <v>5256747.1738503035</v>
      </c>
      <c r="G35" s="6" t="s">
        <v>34</v>
      </c>
      <c r="H35" s="6"/>
      <c r="I35" s="6"/>
      <c r="J35" s="85">
        <f>B35+F35</f>
        <v>14563895.919468539</v>
      </c>
      <c r="K35" s="6" t="s">
        <v>34</v>
      </c>
      <c r="L35" s="6"/>
      <c r="M35" s="6"/>
    </row>
    <row r="36" spans="1:29" x14ac:dyDescent="0.25">
      <c r="A36" s="10" t="s">
        <v>108</v>
      </c>
      <c r="B36" s="91">
        <f>B29*B35/B22</f>
        <v>3.279642598087764E-2</v>
      </c>
      <c r="C36" s="12" t="s">
        <v>35</v>
      </c>
      <c r="D36" s="11">
        <f>B36/0.0036</f>
        <v>9.1101183280215672</v>
      </c>
      <c r="E36" s="6" t="s">
        <v>21</v>
      </c>
      <c r="F36" s="109">
        <f>IF(F29*F35/F22&gt;10000000,"n/a",F29*F35/F22)</f>
        <v>7.4094666067751599E-2</v>
      </c>
      <c r="G36" s="12" t="s">
        <v>35</v>
      </c>
      <c r="H36" s="11">
        <f>IF(F36="n/a","n/a",F36/0.0036)</f>
        <v>20.581851685486555</v>
      </c>
      <c r="I36" s="6" t="s">
        <v>21</v>
      </c>
      <c r="J36" s="91">
        <f>J29*J35/J22</f>
        <v>4.1056073998252444E-2</v>
      </c>
      <c r="K36" s="12" t="s">
        <v>35</v>
      </c>
      <c r="L36" s="11">
        <f>J36/0.0036</f>
        <v>11.404464999514568</v>
      </c>
      <c r="M36" s="6" t="s">
        <v>21</v>
      </c>
    </row>
    <row r="37" spans="1:29" x14ac:dyDescent="0.25">
      <c r="A37" s="10" t="s">
        <v>109</v>
      </c>
      <c r="B37" s="22">
        <f>B36/(1-B9)</f>
        <v>3.279642598087764E-2</v>
      </c>
      <c r="C37" s="12" t="s">
        <v>35</v>
      </c>
      <c r="D37" s="11">
        <f>B37/0.0036</f>
        <v>9.1101183280215672</v>
      </c>
      <c r="E37" s="6" t="s">
        <v>21</v>
      </c>
      <c r="F37" s="22">
        <f>IF(F36="n/a","n/a",F36/(1-F9))</f>
        <v>7.4094666067751599E-2</v>
      </c>
      <c r="G37" s="12" t="s">
        <v>35</v>
      </c>
      <c r="H37" s="11">
        <f t="shared" ref="H37:H39" si="1">IF(F37="n/a","n/a",F37/0.0036)</f>
        <v>20.581851685486555</v>
      </c>
      <c r="I37" s="6" t="s">
        <v>21</v>
      </c>
      <c r="J37" s="22">
        <f>J36/(1-B9)</f>
        <v>4.1056073998252444E-2</v>
      </c>
      <c r="K37" s="12" t="s">
        <v>35</v>
      </c>
      <c r="L37" s="11">
        <f>J37/0.0036</f>
        <v>11.404464999514568</v>
      </c>
      <c r="M37" s="6" t="s">
        <v>21</v>
      </c>
      <c r="N37" s="89"/>
    </row>
    <row r="38" spans="1:29" x14ac:dyDescent="0.25">
      <c r="A38" s="14" t="s">
        <v>110</v>
      </c>
      <c r="B38" s="92">
        <f>B31*B35/B22</f>
        <v>2.7008875394534376E-2</v>
      </c>
      <c r="C38" s="16" t="s">
        <v>35</v>
      </c>
      <c r="D38" s="15">
        <f>B38/0.0036</f>
        <v>7.5024653873706599</v>
      </c>
      <c r="E38" s="93" t="s">
        <v>21</v>
      </c>
      <c r="F38" s="92">
        <f>IF(F31*F35/F22&gt;10000000,"n/a",F31*F35/F22)</f>
        <v>6.101925875674287E-2</v>
      </c>
      <c r="G38" s="16" t="s">
        <v>35</v>
      </c>
      <c r="H38" s="114">
        <f t="shared" si="1"/>
        <v>16.949794099095243</v>
      </c>
      <c r="I38" s="93" t="s">
        <v>21</v>
      </c>
      <c r="J38" s="92">
        <f>J31*J35/J22</f>
        <v>3.3810952066976076E-2</v>
      </c>
      <c r="K38" s="16" t="s">
        <v>35</v>
      </c>
      <c r="L38" s="15">
        <f>J38/0.0036</f>
        <v>9.3919311297155765</v>
      </c>
      <c r="M38" s="93" t="s">
        <v>21</v>
      </c>
    </row>
    <row r="39" spans="1:29" x14ac:dyDescent="0.25">
      <c r="A39" s="10" t="s">
        <v>111</v>
      </c>
      <c r="B39" s="22">
        <f>B38/(1-B9)</f>
        <v>2.7008875394534376E-2</v>
      </c>
      <c r="C39" s="12" t="s">
        <v>35</v>
      </c>
      <c r="D39" s="11">
        <f>B39/0.0036</f>
        <v>7.5024653873706599</v>
      </c>
      <c r="E39" s="6" t="s">
        <v>21</v>
      </c>
      <c r="F39" s="91">
        <f>IF(F38="n/a","n/a",F38/(1-F9))</f>
        <v>6.101925875674287E-2</v>
      </c>
      <c r="G39" s="12" t="s">
        <v>35</v>
      </c>
      <c r="H39" s="11">
        <f t="shared" si="1"/>
        <v>16.949794099095243</v>
      </c>
      <c r="I39" s="6" t="s">
        <v>21</v>
      </c>
      <c r="J39" s="91">
        <f>J38/(1-B9)</f>
        <v>3.3810952066976076E-2</v>
      </c>
      <c r="K39" s="12" t="s">
        <v>35</v>
      </c>
      <c r="L39" s="11">
        <f>J39/0.0036</f>
        <v>9.3919311297155765</v>
      </c>
      <c r="M39" s="6" t="s">
        <v>21</v>
      </c>
    </row>
    <row r="40" spans="1:29" x14ac:dyDescent="0.25">
      <c r="A40" s="24" t="s">
        <v>53</v>
      </c>
    </row>
    <row r="41" spans="1:29" ht="14.4" x14ac:dyDescent="0.3">
      <c r="A41" s="25" t="s">
        <v>54</v>
      </c>
      <c r="B41" s="9">
        <v>7.85E-2</v>
      </c>
      <c r="C41" s="26" t="s">
        <v>14</v>
      </c>
      <c r="D41" s="26"/>
      <c r="E41" s="26"/>
    </row>
    <row r="42" spans="1:29" x14ac:dyDescent="0.25">
      <c r="A42" s="25" t="s">
        <v>55</v>
      </c>
      <c r="B42" s="27">
        <f>(B41*(1+B41)^B12)/((1+B41)^B12-1)</f>
        <v>0.10071794368308355</v>
      </c>
      <c r="C42" s="26" t="s">
        <v>14</v>
      </c>
      <c r="D42" s="26"/>
      <c r="E42" s="26"/>
    </row>
    <row r="43" spans="1:29" x14ac:dyDescent="0.25">
      <c r="A43" s="25" t="s">
        <v>56</v>
      </c>
      <c r="B43" s="27">
        <f>B42+B15</f>
        <v>0.12071794368308356</v>
      </c>
      <c r="C43" s="26" t="s">
        <v>14</v>
      </c>
      <c r="D43" s="26"/>
      <c r="E43" s="26"/>
    </row>
    <row r="44" spans="1:29" x14ac:dyDescent="0.25">
      <c r="A44" s="28" t="s">
        <v>57</v>
      </c>
      <c r="B44" s="22">
        <f>(B23-B24/(1+B8)^B12)*B43/(B2*B3*365*24)+B14</f>
        <v>2.9439243405107972E-2</v>
      </c>
      <c r="C44" s="29" t="s">
        <v>35</v>
      </c>
      <c r="D44" s="29"/>
      <c r="E44" s="29"/>
    </row>
    <row r="45" spans="1:29" x14ac:dyDescent="0.25">
      <c r="A45" s="30"/>
      <c r="B45" s="22">
        <f>(B23-B24/(1+B41)^B12)*B43/(B2*B3*365*24)+B14</f>
        <v>2.9332539658965307E-2</v>
      </c>
      <c r="C45" s="29"/>
      <c r="D45" s="31"/>
      <c r="E45" s="31"/>
    </row>
    <row r="46" spans="1:29" x14ac:dyDescent="0.25">
      <c r="B46" s="22">
        <f>(B23-B24/(1+B8)^B12)*B43/(B2*B3*365*24)+B14</f>
        <v>2.9439243405107972E-2</v>
      </c>
      <c r="C46" s="117" t="s">
        <v>35</v>
      </c>
      <c r="U46" s="47"/>
      <c r="V46" s="140"/>
      <c r="Z46" s="179"/>
      <c r="AA46" s="41"/>
      <c r="AB46" s="88"/>
      <c r="AC46" s="141"/>
    </row>
    <row r="47" spans="1:29" ht="19.8" x14ac:dyDescent="0.25">
      <c r="A47" s="116" t="str">
        <f>B1</f>
        <v>Other</v>
      </c>
      <c r="B47" s="121"/>
      <c r="C47" s="121"/>
      <c r="D47" s="121"/>
      <c r="E47" s="121"/>
      <c r="F47" s="121"/>
      <c r="G47" s="122"/>
      <c r="H47" s="121"/>
      <c r="I47" s="121"/>
      <c r="J47" s="121"/>
      <c r="K47" s="121"/>
      <c r="L47" s="122"/>
      <c r="M47" s="121"/>
      <c r="N47" s="121"/>
      <c r="O47" s="121"/>
      <c r="P47" s="121"/>
      <c r="Q47" s="122"/>
      <c r="R47" s="121"/>
      <c r="S47" s="121"/>
      <c r="T47" s="121"/>
      <c r="U47" s="121"/>
      <c r="V47" s="121"/>
      <c r="W47" s="122"/>
      <c r="X47" s="178"/>
      <c r="Y47" s="122"/>
      <c r="Z47" s="178"/>
      <c r="AA47" s="122"/>
      <c r="AB47" s="88"/>
      <c r="AC47" s="97"/>
    </row>
    <row r="48" spans="1:29" s="97" customFormat="1" ht="60" customHeight="1" x14ac:dyDescent="0.3">
      <c r="A48" s="96" t="s">
        <v>58</v>
      </c>
      <c r="B48" s="118" t="s">
        <v>59</v>
      </c>
      <c r="C48" s="118" t="s">
        <v>60</v>
      </c>
      <c r="D48" s="119" t="s">
        <v>61</v>
      </c>
      <c r="E48" s="119" t="s">
        <v>62</v>
      </c>
      <c r="F48" s="118" t="s">
        <v>63</v>
      </c>
      <c r="G48" s="123" t="s">
        <v>64</v>
      </c>
      <c r="H48" s="123" t="s">
        <v>65</v>
      </c>
      <c r="I48" s="118" t="s">
        <v>66</v>
      </c>
      <c r="J48" s="118" t="s">
        <v>67</v>
      </c>
      <c r="K48" s="118" t="s">
        <v>68</v>
      </c>
      <c r="L48" s="123" t="s">
        <v>82</v>
      </c>
      <c r="M48" s="118" t="s">
        <v>69</v>
      </c>
      <c r="N48" s="118" t="s">
        <v>70</v>
      </c>
      <c r="O48" s="118" t="s">
        <v>71</v>
      </c>
      <c r="P48" s="119" t="s">
        <v>72</v>
      </c>
      <c r="Q48" s="123" t="s">
        <v>83</v>
      </c>
      <c r="R48" s="118" t="s">
        <v>73</v>
      </c>
      <c r="S48" s="118" t="s">
        <v>74</v>
      </c>
      <c r="T48" s="126" t="s">
        <v>75</v>
      </c>
      <c r="U48" s="123" t="s">
        <v>165</v>
      </c>
      <c r="V48" s="120" t="s">
        <v>164</v>
      </c>
      <c r="W48" s="123" t="s">
        <v>125</v>
      </c>
      <c r="X48" s="123" t="s">
        <v>163</v>
      </c>
      <c r="Y48" s="123" t="s">
        <v>78</v>
      </c>
      <c r="Z48" s="123" t="s">
        <v>162</v>
      </c>
      <c r="AA48" s="120" t="s">
        <v>170</v>
      </c>
      <c r="AB48" s="123" t="s">
        <v>274</v>
      </c>
      <c r="AC48" s="123" t="s">
        <v>269</v>
      </c>
    </row>
    <row r="49" spans="1:29" ht="14.4" x14ac:dyDescent="0.3">
      <c r="A49" s="35">
        <v>0</v>
      </c>
      <c r="B49" s="44">
        <f>1/(1+Other_DCF!$B$8)^A49</f>
        <v>1</v>
      </c>
      <c r="C49" s="35"/>
      <c r="D49" s="36"/>
      <c r="E49" s="36"/>
      <c r="F49" s="98"/>
      <c r="G49" s="124"/>
      <c r="H49" s="124"/>
      <c r="I49" s="98">
        <v>0</v>
      </c>
      <c r="J49" s="98"/>
      <c r="K49" s="98"/>
      <c r="L49" s="124"/>
      <c r="M49" s="98"/>
      <c r="N49" s="98"/>
      <c r="O49" s="98"/>
      <c r="P49" s="98"/>
      <c r="Q49" s="124"/>
      <c r="R49" s="98"/>
      <c r="S49" s="98"/>
      <c r="T49" s="124"/>
      <c r="U49" s="124">
        <f>-$B$26</f>
        <v>-3275920.5598016409</v>
      </c>
      <c r="V49" s="68">
        <f t="shared" ref="V49:V89" si="2">U49*B49</f>
        <v>-3275920.5598016409</v>
      </c>
      <c r="W49" s="124">
        <f>U92</f>
        <v>-485746.05891047104</v>
      </c>
      <c r="X49" s="124">
        <f>U49+W49</f>
        <v>-3761666.6187121118</v>
      </c>
      <c r="Y49" s="124">
        <f>Baseline_DCF!U49</f>
        <v>0</v>
      </c>
      <c r="Z49" s="124">
        <f>X49-Y49</f>
        <v>-3761666.6187121118</v>
      </c>
      <c r="AA49" s="68">
        <f>Z49*B49</f>
        <v>-3761666.6187121118</v>
      </c>
      <c r="AB49" s="124">
        <f>-U49</f>
        <v>3275920.5598016409</v>
      </c>
      <c r="AC49" s="124">
        <f>-W49</f>
        <v>485746.05891047104</v>
      </c>
    </row>
    <row r="50" spans="1:29" ht="14.4" x14ac:dyDescent="0.3">
      <c r="A50" s="35">
        <f>A49+1</f>
        <v>1</v>
      </c>
      <c r="B50" s="44">
        <f>1/(1+Other_DCF!$B$8)^A50</f>
        <v>0.90909090909090906</v>
      </c>
      <c r="C50" s="36">
        <f>IF(A50&lt;(Other_DCF!$B$6+1),1,0)</f>
        <v>1</v>
      </c>
      <c r="D50" s="36">
        <f>IF(A50&lt;(Other_DCF!$B$11+1),1,0)</f>
        <v>1</v>
      </c>
      <c r="E50" s="36">
        <f>IF(A50&lt;(Other_DCF!$B$12+1),1,0)</f>
        <v>1</v>
      </c>
      <c r="F50" s="98">
        <f xml:space="preserve"> -Other_DCF!$B$32*D50</f>
        <v>-545986.75996694015</v>
      </c>
      <c r="G50" s="124">
        <f>-F50*Other_DCF!$B$9</f>
        <v>0</v>
      </c>
      <c r="H50" s="124">
        <f>-Other_DCF!$B$28*C50</f>
        <v>-715883.28739350592</v>
      </c>
      <c r="I50" s="98">
        <f>Other_DCF!B25</f>
        <v>4913880.8397024609</v>
      </c>
      <c r="J50" s="98">
        <f t="shared" ref="J50:J89" si="3">I50+H50-K50</f>
        <v>4566538.6152866399</v>
      </c>
      <c r="K50" s="98">
        <f>-I50*Other_DCF!$B$7</f>
        <v>-368541.06297768455</v>
      </c>
      <c r="L50" s="124">
        <f>-(K50*Other_DCF!$B$9)</f>
        <v>0</v>
      </c>
      <c r="M50" s="98">
        <f>-$B$15*$B$23*E50*(1+$B$10)^A50</f>
        <v>-167890.92868983408</v>
      </c>
      <c r="N50" s="98">
        <f>M50*$B$9</f>
        <v>0</v>
      </c>
      <c r="O50" s="98">
        <f>-E50*$D$22*$B$14*(1+$B$10)^A50</f>
        <v>0</v>
      </c>
      <c r="P50" s="98">
        <f>O50*$B$9</f>
        <v>0</v>
      </c>
      <c r="Q50" s="124">
        <f>(M50+O50-N50-P50)</f>
        <v>-167890.92868983408</v>
      </c>
      <c r="R50" s="98">
        <f>-E50*$B$21*(1+$B$17)^A50</f>
        <v>0</v>
      </c>
      <c r="S50" s="98">
        <f>-R50*$B$9</f>
        <v>0</v>
      </c>
      <c r="T50" s="124">
        <f>R50+S50</f>
        <v>0</v>
      </c>
      <c r="U50" s="124">
        <f>G50+H50+L50+Q50+T50+IF(AND(E50=1,E51=0),$B$24,0)</f>
        <v>-883774.21608334</v>
      </c>
      <c r="V50" s="68">
        <f t="shared" si="2"/>
        <v>-803431.10553030903</v>
      </c>
      <c r="W50" s="124">
        <f t="shared" ref="W50:W89" si="4">U93</f>
        <v>-515419.03314809559</v>
      </c>
      <c r="X50" s="124">
        <f>U50+W50</f>
        <v>-1399193.2492314356</v>
      </c>
      <c r="Y50" s="124">
        <f>Baseline_DCF!U50</f>
        <v>-1921874.9999999998</v>
      </c>
      <c r="Z50" s="124">
        <f>X50-Y50</f>
        <v>522681.75076856418</v>
      </c>
      <c r="AA50" s="68">
        <f t="shared" ref="AA50:AA89" si="5">Z50*B50</f>
        <v>475165.22797142196</v>
      </c>
      <c r="AB50" s="124">
        <f t="shared" ref="AB50:AB89" si="6">-U50</f>
        <v>883774.21608334</v>
      </c>
      <c r="AC50" s="124">
        <f t="shared" ref="AC50:AC89" si="7">-W50</f>
        <v>515419.03314809559</v>
      </c>
    </row>
    <row r="51" spans="1:29" ht="14.4" x14ac:dyDescent="0.3">
      <c r="A51" s="35">
        <f t="shared" ref="A51:A89" si="8">A50+1</f>
        <v>2</v>
      </c>
      <c r="B51" s="44">
        <f>1/(1+Other_DCF!$B$8)^A51</f>
        <v>0.82644628099173545</v>
      </c>
      <c r="C51" s="36">
        <f>IF(A51&lt;(Other_DCF!$B$6+1),1,0)</f>
        <v>1</v>
      </c>
      <c r="D51" s="36">
        <f>IF(A51&lt;(Other_DCF!$B$11+1),1,0)</f>
        <v>1</v>
      </c>
      <c r="E51" s="36">
        <f>IF(A51&lt;(Other_DCF!$B$12+1),1,0)</f>
        <v>1</v>
      </c>
      <c r="F51" s="98">
        <f xml:space="preserve"> -Other_DCF!$B$32*D51</f>
        <v>-545986.75996694015</v>
      </c>
      <c r="G51" s="124">
        <f>-F51*Other_DCF!$B$9</f>
        <v>0</v>
      </c>
      <c r="H51" s="124">
        <f>-Other_DCF!$B$28*C51</f>
        <v>-715883.28739350592</v>
      </c>
      <c r="I51" s="98">
        <f>J50</f>
        <v>4566538.6152866399</v>
      </c>
      <c r="J51" s="98">
        <f t="shared" si="3"/>
        <v>4193145.7240396324</v>
      </c>
      <c r="K51" s="98">
        <f>-I51*Other_DCF!$B$7</f>
        <v>-342490.39614649798</v>
      </c>
      <c r="L51" s="124">
        <f>-(K51*Other_DCF!$B$9)</f>
        <v>0</v>
      </c>
      <c r="M51" s="98">
        <f t="shared" ref="M51:M89" si="9">-$B$15*$B$23*E51*(1+$B$10)^A51</f>
        <v>-172088.20190707993</v>
      </c>
      <c r="N51" s="98">
        <f t="shared" ref="N51:N89" si="10">M51*$B$9</f>
        <v>0</v>
      </c>
      <c r="O51" s="98">
        <f t="shared" ref="O51:O89" si="11">-E51*$D$22*$B$14*(1+$B$10)^A51</f>
        <v>0</v>
      </c>
      <c r="P51" s="98">
        <f t="shared" ref="P51:P89" si="12">O51*$B$9</f>
        <v>0</v>
      </c>
      <c r="Q51" s="124">
        <f t="shared" ref="Q51:Q89" si="13">(M51+O51-N51-P51)</f>
        <v>-172088.20190707993</v>
      </c>
      <c r="R51" s="98">
        <f t="shared" ref="R51:R89" si="14">-E51*$B$21*(1+$B$17)^A51</f>
        <v>0</v>
      </c>
      <c r="S51" s="98">
        <f t="shared" ref="S51:S89" si="15">-R51*$B$9</f>
        <v>0</v>
      </c>
      <c r="T51" s="124">
        <f t="shared" ref="T51:T89" si="16">R51+S51</f>
        <v>0</v>
      </c>
      <c r="U51" s="124">
        <f t="shared" ref="U51:U89" si="17">G51+H51+L51+Q51+T51+IF(AND(E51=1,E52=0),$B$24,0)</f>
        <v>-887971.48930058582</v>
      </c>
      <c r="V51" s="68">
        <f t="shared" si="2"/>
        <v>-733860.73495916172</v>
      </c>
      <c r="W51" s="124">
        <f t="shared" si="4"/>
        <v>-525650.77028607461</v>
      </c>
      <c r="X51" s="124">
        <f t="shared" ref="X51:X89" si="18">U51+W51</f>
        <v>-1413622.2595866604</v>
      </c>
      <c r="Y51" s="124">
        <f>Baseline_DCF!U51</f>
        <v>-1969921.8749999998</v>
      </c>
      <c r="Z51" s="124">
        <f t="shared" ref="Z51:Z89" si="19">X51-Y51</f>
        <v>556299.61541333934</v>
      </c>
      <c r="AA51" s="68">
        <f t="shared" si="5"/>
        <v>459751.74827548699</v>
      </c>
      <c r="AB51" s="124">
        <f t="shared" si="6"/>
        <v>887971.48930058582</v>
      </c>
      <c r="AC51" s="124">
        <f t="shared" si="7"/>
        <v>525650.77028607461</v>
      </c>
    </row>
    <row r="52" spans="1:29" ht="14.4" x14ac:dyDescent="0.3">
      <c r="A52" s="35">
        <f t="shared" si="8"/>
        <v>3</v>
      </c>
      <c r="B52" s="44">
        <f>1/(1+Other_DCF!$B$8)^A52</f>
        <v>0.75131480090157754</v>
      </c>
      <c r="C52" s="36">
        <f>IF(A52&lt;(Other_DCF!$B$6+1),1,0)</f>
        <v>1</v>
      </c>
      <c r="D52" s="36">
        <f>IF(A52&lt;(Other_DCF!$B$11+1),1,0)</f>
        <v>1</v>
      </c>
      <c r="E52" s="36">
        <f>IF(A52&lt;(Other_DCF!$B$12+1),1,0)</f>
        <v>1</v>
      </c>
      <c r="F52" s="98">
        <f xml:space="preserve"> -Other_DCF!$B$32*D52</f>
        <v>-545986.75996694015</v>
      </c>
      <c r="G52" s="124">
        <f>-F52*Other_DCF!$B$9</f>
        <v>0</v>
      </c>
      <c r="H52" s="124">
        <f>-Other_DCF!$B$28*C52</f>
        <v>-715883.28739350592</v>
      </c>
      <c r="I52" s="98">
        <f t="shared" ref="I52:I64" si="20">J51</f>
        <v>4193145.7240396324</v>
      </c>
      <c r="J52" s="98">
        <f t="shared" si="3"/>
        <v>3791748.3659490985</v>
      </c>
      <c r="K52" s="98">
        <f>-I52*Other_DCF!$B$7</f>
        <v>-314485.92930297239</v>
      </c>
      <c r="L52" s="124">
        <f>-(K52*Other_DCF!$B$9)</f>
        <v>0</v>
      </c>
      <c r="M52" s="98">
        <f t="shared" si="9"/>
        <v>-176390.40695475694</v>
      </c>
      <c r="N52" s="98">
        <f t="shared" si="10"/>
        <v>0</v>
      </c>
      <c r="O52" s="98">
        <f t="shared" si="11"/>
        <v>0</v>
      </c>
      <c r="P52" s="98">
        <f t="shared" si="12"/>
        <v>0</v>
      </c>
      <c r="Q52" s="124">
        <f t="shared" si="13"/>
        <v>-176390.40695475694</v>
      </c>
      <c r="R52" s="98">
        <f t="shared" si="14"/>
        <v>0</v>
      </c>
      <c r="S52" s="98">
        <f t="shared" si="15"/>
        <v>0</v>
      </c>
      <c r="T52" s="124">
        <f t="shared" si="16"/>
        <v>0</v>
      </c>
      <c r="U52" s="124">
        <f t="shared" si="17"/>
        <v>-892273.69434826286</v>
      </c>
      <c r="V52" s="68">
        <f t="shared" si="2"/>
        <v>-670378.4330189802</v>
      </c>
      <c r="W52" s="124">
        <f t="shared" si="4"/>
        <v>-536138.30085250305</v>
      </c>
      <c r="X52" s="124">
        <f t="shared" si="18"/>
        <v>-1428411.9952007658</v>
      </c>
      <c r="Y52" s="124">
        <f>Baseline_DCF!U52</f>
        <v>-2019169.9218749998</v>
      </c>
      <c r="Z52" s="124">
        <f t="shared" si="19"/>
        <v>590757.92667423398</v>
      </c>
      <c r="AA52" s="68">
        <f t="shared" si="5"/>
        <v>443845.17406028084</v>
      </c>
      <c r="AB52" s="124">
        <f t="shared" si="6"/>
        <v>892273.69434826286</v>
      </c>
      <c r="AC52" s="124">
        <f t="shared" si="7"/>
        <v>536138.30085250305</v>
      </c>
    </row>
    <row r="53" spans="1:29" ht="14.4" x14ac:dyDescent="0.3">
      <c r="A53" s="35">
        <f t="shared" si="8"/>
        <v>4</v>
      </c>
      <c r="B53" s="44">
        <f>1/(1+Other_DCF!$B$8)^A53</f>
        <v>0.68301345536507052</v>
      </c>
      <c r="C53" s="36">
        <f>IF(A53&lt;(Other_DCF!$B$6+1),1,0)</f>
        <v>1</v>
      </c>
      <c r="D53" s="36">
        <f>IF(A53&lt;(Other_DCF!$B$11+1),1,0)</f>
        <v>1</v>
      </c>
      <c r="E53" s="36">
        <f>IF(A53&lt;(Other_DCF!$B$12+1),1,0)</f>
        <v>1</v>
      </c>
      <c r="F53" s="98">
        <f xml:space="preserve"> -Other_DCF!$B$32*D53</f>
        <v>-545986.75996694015</v>
      </c>
      <c r="G53" s="124">
        <f>-F53*Other_DCF!$B$9</f>
        <v>0</v>
      </c>
      <c r="H53" s="124">
        <f>-Other_DCF!$B$28*C53</f>
        <v>-715883.28739350592</v>
      </c>
      <c r="I53" s="98">
        <f t="shared" si="20"/>
        <v>3791748.3659490985</v>
      </c>
      <c r="J53" s="98">
        <f t="shared" si="3"/>
        <v>3360246.2060017749</v>
      </c>
      <c r="K53" s="98">
        <f>-I53*Other_DCF!$B$7</f>
        <v>-284381.12744618236</v>
      </c>
      <c r="L53" s="124">
        <f>-(K53*Other_DCF!$B$9)</f>
        <v>0</v>
      </c>
      <c r="M53" s="98">
        <f t="shared" si="9"/>
        <v>-180800.16712862582</v>
      </c>
      <c r="N53" s="98">
        <f t="shared" si="10"/>
        <v>0</v>
      </c>
      <c r="O53" s="98">
        <f t="shared" si="11"/>
        <v>0</v>
      </c>
      <c r="P53" s="98">
        <f t="shared" si="12"/>
        <v>0</v>
      </c>
      <c r="Q53" s="124">
        <f t="shared" si="13"/>
        <v>-180800.16712862582</v>
      </c>
      <c r="R53" s="98">
        <f t="shared" si="14"/>
        <v>0</v>
      </c>
      <c r="S53" s="98">
        <f t="shared" si="15"/>
        <v>0</v>
      </c>
      <c r="T53" s="124">
        <f t="shared" si="16"/>
        <v>0</v>
      </c>
      <c r="U53" s="124">
        <f t="shared" si="17"/>
        <v>-896683.45452213171</v>
      </c>
      <c r="V53" s="68">
        <f t="shared" si="2"/>
        <v>-612446.8646418493</v>
      </c>
      <c r="W53" s="124">
        <f t="shared" si="4"/>
        <v>-546888.01968309237</v>
      </c>
      <c r="X53" s="124">
        <f t="shared" si="18"/>
        <v>-1443571.4742052241</v>
      </c>
      <c r="Y53" s="124">
        <f>Baseline_DCF!U53</f>
        <v>-2069649.1699218745</v>
      </c>
      <c r="Z53" s="124">
        <f t="shared" si="19"/>
        <v>626077.69571665046</v>
      </c>
      <c r="AA53" s="68">
        <f t="shared" si="5"/>
        <v>427619.49027843063</v>
      </c>
      <c r="AB53" s="124">
        <f t="shared" si="6"/>
        <v>896683.45452213171</v>
      </c>
      <c r="AC53" s="124">
        <f t="shared" si="7"/>
        <v>546888.01968309237</v>
      </c>
    </row>
    <row r="54" spans="1:29" ht="14.4" x14ac:dyDescent="0.3">
      <c r="A54" s="35">
        <f t="shared" si="8"/>
        <v>5</v>
      </c>
      <c r="B54" s="44">
        <f>1/(1+Other_DCF!$B$8)^A54</f>
        <v>0.62092132305915493</v>
      </c>
      <c r="C54" s="36">
        <f>IF(A54&lt;(Other_DCF!$B$6+1),1,0)</f>
        <v>1</v>
      </c>
      <c r="D54" s="36">
        <f>IF(A54&lt;(Other_DCF!$B$11+1),1,0)</f>
        <v>1</v>
      </c>
      <c r="E54" s="36">
        <f>IF(A54&lt;(Other_DCF!$B$12+1),1,0)</f>
        <v>1</v>
      </c>
      <c r="F54" s="98">
        <f xml:space="preserve"> -Other_DCF!$B$32*D54</f>
        <v>-545986.75996694015</v>
      </c>
      <c r="G54" s="124">
        <f>-F54*Other_DCF!$B$9</f>
        <v>0</v>
      </c>
      <c r="H54" s="124">
        <f>-Other_DCF!$B$28*C54</f>
        <v>-715883.28739350592</v>
      </c>
      <c r="I54" s="98">
        <f t="shared" si="20"/>
        <v>3360246.2060017749</v>
      </c>
      <c r="J54" s="98">
        <f t="shared" si="3"/>
        <v>2896381.3840584019</v>
      </c>
      <c r="K54" s="98">
        <f>-I54*Other_DCF!$B$7</f>
        <v>-252018.46545013311</v>
      </c>
      <c r="L54" s="124">
        <f>-(K54*Other_DCF!$B$9)</f>
        <v>0</v>
      </c>
      <c r="M54" s="98">
        <f t="shared" si="9"/>
        <v>-185320.17130684145</v>
      </c>
      <c r="N54" s="98">
        <f t="shared" si="10"/>
        <v>0</v>
      </c>
      <c r="O54" s="98">
        <f t="shared" si="11"/>
        <v>0</v>
      </c>
      <c r="P54" s="98">
        <f t="shared" si="12"/>
        <v>0</v>
      </c>
      <c r="Q54" s="124">
        <f t="shared" si="13"/>
        <v>-185320.17130684145</v>
      </c>
      <c r="R54" s="98">
        <f t="shared" si="14"/>
        <v>0</v>
      </c>
      <c r="S54" s="98">
        <f t="shared" si="15"/>
        <v>0</v>
      </c>
      <c r="T54" s="124">
        <f t="shared" si="16"/>
        <v>0</v>
      </c>
      <c r="U54" s="124">
        <f t="shared" si="17"/>
        <v>-901203.45870034734</v>
      </c>
      <c r="V54" s="68">
        <f t="shared" si="2"/>
        <v>-559576.44392170617</v>
      </c>
      <c r="W54" s="124">
        <f t="shared" si="4"/>
        <v>-557906.48148444621</v>
      </c>
      <c r="X54" s="124">
        <f t="shared" si="18"/>
        <v>-1459109.9401847934</v>
      </c>
      <c r="Y54" s="124">
        <f>Baseline_DCF!U54</f>
        <v>-2121390.3991699214</v>
      </c>
      <c r="Z54" s="124">
        <f t="shared" si="19"/>
        <v>662280.45898512797</v>
      </c>
      <c r="AA54" s="68">
        <f t="shared" si="5"/>
        <v>411224.05882927007</v>
      </c>
      <c r="AB54" s="124">
        <f t="shared" si="6"/>
        <v>901203.45870034734</v>
      </c>
      <c r="AC54" s="124">
        <f t="shared" si="7"/>
        <v>557906.48148444621</v>
      </c>
    </row>
    <row r="55" spans="1:29" ht="14.4" x14ac:dyDescent="0.3">
      <c r="A55" s="35">
        <f t="shared" si="8"/>
        <v>6</v>
      </c>
      <c r="B55" s="44">
        <f>1/(1+Other_DCF!$B$8)^A55</f>
        <v>0.56447393005377722</v>
      </c>
      <c r="C55" s="36">
        <f>IF(A55&lt;(Other_DCF!$B$6+1),1,0)</f>
        <v>1</v>
      </c>
      <c r="D55" s="36">
        <f>IF(A55&lt;(Other_DCF!$B$11+1),1,0)</f>
        <v>1</v>
      </c>
      <c r="E55" s="36">
        <f>IF(A55&lt;(Other_DCF!$B$12+1),1,0)</f>
        <v>1</v>
      </c>
      <c r="F55" s="98">
        <f xml:space="preserve"> -Other_DCF!$B$32*D55</f>
        <v>-545986.75996694015</v>
      </c>
      <c r="G55" s="124">
        <f>-F55*Other_DCF!$B$9</f>
        <v>0</v>
      </c>
      <c r="H55" s="124">
        <f>-Other_DCF!$B$28*C55</f>
        <v>-715883.28739350592</v>
      </c>
      <c r="I55" s="98">
        <f t="shared" si="20"/>
        <v>2896381.3840584019</v>
      </c>
      <c r="J55" s="98">
        <f t="shared" si="3"/>
        <v>2397726.7004692764</v>
      </c>
      <c r="K55" s="98">
        <f>-I55*Other_DCF!$B$7</f>
        <v>-217228.60380438014</v>
      </c>
      <c r="L55" s="124">
        <f>-(K55*Other_DCF!$B$9)</f>
        <v>0</v>
      </c>
      <c r="M55" s="98">
        <f t="shared" si="9"/>
        <v>-189953.17558951248</v>
      </c>
      <c r="N55" s="98">
        <f t="shared" si="10"/>
        <v>0</v>
      </c>
      <c r="O55" s="98">
        <f t="shared" si="11"/>
        <v>0</v>
      </c>
      <c r="P55" s="98">
        <f t="shared" si="12"/>
        <v>0</v>
      </c>
      <c r="Q55" s="124">
        <f t="shared" si="13"/>
        <v>-189953.17558951248</v>
      </c>
      <c r="R55" s="98">
        <f t="shared" si="14"/>
        <v>0</v>
      </c>
      <c r="S55" s="98">
        <f t="shared" si="15"/>
        <v>0</v>
      </c>
      <c r="T55" s="124">
        <f t="shared" si="16"/>
        <v>0</v>
      </c>
      <c r="U55" s="124">
        <f t="shared" si="17"/>
        <v>-905836.46298301837</v>
      </c>
      <c r="V55" s="68">
        <f t="shared" si="2"/>
        <v>-511321.06824603729</v>
      </c>
      <c r="W55" s="124">
        <f t="shared" si="4"/>
        <v>-569200.40483083401</v>
      </c>
      <c r="X55" s="124">
        <f t="shared" si="18"/>
        <v>-1475036.8678138524</v>
      </c>
      <c r="Y55" s="124">
        <f>Baseline_DCF!U55</f>
        <v>-2174425.159149169</v>
      </c>
      <c r="Z55" s="124">
        <f t="shared" si="19"/>
        <v>699388.29133531661</v>
      </c>
      <c r="AA55" s="68">
        <f t="shared" si="5"/>
        <v>394786.45744364226</v>
      </c>
      <c r="AB55" s="124">
        <f t="shared" si="6"/>
        <v>905836.46298301837</v>
      </c>
      <c r="AC55" s="124">
        <f t="shared" si="7"/>
        <v>569200.40483083401</v>
      </c>
    </row>
    <row r="56" spans="1:29" ht="14.4" x14ac:dyDescent="0.3">
      <c r="A56" s="35">
        <f t="shared" si="8"/>
        <v>7</v>
      </c>
      <c r="B56" s="44">
        <f>1/(1+Other_DCF!$B$8)^A56</f>
        <v>0.51315811823070645</v>
      </c>
      <c r="C56" s="36">
        <f>IF(A56&lt;(Other_DCF!$B$6+1),1,0)</f>
        <v>1</v>
      </c>
      <c r="D56" s="36">
        <f>IF(A56&lt;(Other_DCF!$B$11+1),1,0)</f>
        <v>1</v>
      </c>
      <c r="E56" s="36">
        <f>IF(A56&lt;(Other_DCF!$B$12+1),1,0)</f>
        <v>1</v>
      </c>
      <c r="F56" s="98">
        <f xml:space="preserve"> -Other_DCF!$B$32*D56</f>
        <v>-545986.75996694015</v>
      </c>
      <c r="G56" s="124">
        <f>-F56*Other_DCF!$B$9</f>
        <v>0</v>
      </c>
      <c r="H56" s="124">
        <f>-Other_DCF!$B$28*C56</f>
        <v>-715883.28739350592</v>
      </c>
      <c r="I56" s="98">
        <f t="shared" si="20"/>
        <v>2397726.7004692764</v>
      </c>
      <c r="J56" s="98">
        <f t="shared" si="3"/>
        <v>1861672.9156109663</v>
      </c>
      <c r="K56" s="98">
        <f>-I56*Other_DCF!$B$7</f>
        <v>-179829.50253519573</v>
      </c>
      <c r="L56" s="124">
        <f>-(K56*Other_DCF!$B$9)</f>
        <v>0</v>
      </c>
      <c r="M56" s="98">
        <f t="shared" si="9"/>
        <v>-194702.00497925031</v>
      </c>
      <c r="N56" s="98">
        <f t="shared" si="10"/>
        <v>0</v>
      </c>
      <c r="O56" s="98">
        <f t="shared" si="11"/>
        <v>0</v>
      </c>
      <c r="P56" s="98">
        <f t="shared" si="12"/>
        <v>0</v>
      </c>
      <c r="Q56" s="124">
        <f t="shared" si="13"/>
        <v>-194702.00497925031</v>
      </c>
      <c r="R56" s="98">
        <f t="shared" si="14"/>
        <v>0</v>
      </c>
      <c r="S56" s="98">
        <f t="shared" si="15"/>
        <v>0</v>
      </c>
      <c r="T56" s="124">
        <f t="shared" si="16"/>
        <v>0</v>
      </c>
      <c r="U56" s="124">
        <f t="shared" si="17"/>
        <v>-910585.29237275617</v>
      </c>
      <c r="V56" s="68">
        <f t="shared" si="2"/>
        <v>-467274.23512256122</v>
      </c>
      <c r="W56" s="124">
        <f t="shared" si="4"/>
        <v>-580776.67626088159</v>
      </c>
      <c r="X56" s="124">
        <f t="shared" si="18"/>
        <v>-1491361.9686336378</v>
      </c>
      <c r="Y56" s="124">
        <f>Baseline_DCF!U56</f>
        <v>-2228785.7881278982</v>
      </c>
      <c r="Z56" s="124">
        <f t="shared" si="19"/>
        <v>737423.81949426048</v>
      </c>
      <c r="AA56" s="68">
        <f t="shared" si="5"/>
        <v>378415.01955017482</v>
      </c>
      <c r="AB56" s="124">
        <f t="shared" si="6"/>
        <v>910585.29237275617</v>
      </c>
      <c r="AC56" s="124">
        <f t="shared" si="7"/>
        <v>580776.67626088159</v>
      </c>
    </row>
    <row r="57" spans="1:29" ht="14.4" x14ac:dyDescent="0.3">
      <c r="A57" s="35">
        <f t="shared" si="8"/>
        <v>8</v>
      </c>
      <c r="B57" s="44">
        <f>1/(1+Other_DCF!$B$8)^A57</f>
        <v>0.46650738020973315</v>
      </c>
      <c r="C57" s="36">
        <f>IF(A57&lt;(Other_DCF!$B$6+1),1,0)</f>
        <v>1</v>
      </c>
      <c r="D57" s="36">
        <f>IF(A57&lt;(Other_DCF!$B$11+1),1,0)</f>
        <v>1</v>
      </c>
      <c r="E57" s="36">
        <f>IF(A57&lt;(Other_DCF!$B$12+1),1,0)</f>
        <v>1</v>
      </c>
      <c r="F57" s="98">
        <f xml:space="preserve"> -Other_DCF!$B$32*D57</f>
        <v>-545986.75996694015</v>
      </c>
      <c r="G57" s="124">
        <f>-F57*Other_DCF!$B$9</f>
        <v>0</v>
      </c>
      <c r="H57" s="124">
        <f>-Other_DCF!$B$28*C57</f>
        <v>-715883.28739350592</v>
      </c>
      <c r="I57" s="98">
        <f t="shared" si="20"/>
        <v>1861672.9156109663</v>
      </c>
      <c r="J57" s="98">
        <f t="shared" si="3"/>
        <v>1285415.0968882828</v>
      </c>
      <c r="K57" s="98">
        <f>-I57*Other_DCF!$B$7</f>
        <v>-139625.46867082248</v>
      </c>
      <c r="L57" s="124">
        <f>-(K57*Other_DCF!$B$9)</f>
        <v>0</v>
      </c>
      <c r="M57" s="98">
        <f t="shared" si="9"/>
        <v>-199569.55510373155</v>
      </c>
      <c r="N57" s="98">
        <f t="shared" si="10"/>
        <v>0</v>
      </c>
      <c r="O57" s="98">
        <f t="shared" si="11"/>
        <v>0</v>
      </c>
      <c r="P57" s="98">
        <f t="shared" si="12"/>
        <v>0</v>
      </c>
      <c r="Q57" s="124">
        <f t="shared" si="13"/>
        <v>-199569.55510373155</v>
      </c>
      <c r="R57" s="98">
        <f t="shared" si="14"/>
        <v>0</v>
      </c>
      <c r="S57" s="98">
        <f t="shared" si="15"/>
        <v>0</v>
      </c>
      <c r="T57" s="124">
        <f t="shared" si="16"/>
        <v>0</v>
      </c>
      <c r="U57" s="124">
        <f t="shared" si="17"/>
        <v>-915452.84249723749</v>
      </c>
      <c r="V57" s="68">
        <f t="shared" si="2"/>
        <v>-427065.50725893973</v>
      </c>
      <c r="W57" s="124">
        <f t="shared" si="4"/>
        <v>-592642.35447668016</v>
      </c>
      <c r="X57" s="124">
        <f t="shared" si="18"/>
        <v>-1508095.1969739175</v>
      </c>
      <c r="Y57" s="124">
        <f>Baseline_DCF!U57</f>
        <v>-2284505.4328310955</v>
      </c>
      <c r="Z57" s="124">
        <f t="shared" si="19"/>
        <v>776410.23585717799</v>
      </c>
      <c r="AA57" s="68">
        <f t="shared" si="5"/>
        <v>362201.10509775311</v>
      </c>
      <c r="AB57" s="124">
        <f t="shared" si="6"/>
        <v>915452.84249723749</v>
      </c>
      <c r="AC57" s="124">
        <f t="shared" si="7"/>
        <v>592642.35447668016</v>
      </c>
    </row>
    <row r="58" spans="1:29" ht="14.4" x14ac:dyDescent="0.3">
      <c r="A58" s="35">
        <f t="shared" si="8"/>
        <v>9</v>
      </c>
      <c r="B58" s="44">
        <f>1/(1+Other_DCF!$B$8)^A58</f>
        <v>0.42409761837248466</v>
      </c>
      <c r="C58" s="36">
        <f>IF(A58&lt;(Other_DCF!$B$6+1),1,0)</f>
        <v>1</v>
      </c>
      <c r="D58" s="36">
        <f>IF(A58&lt;(Other_DCF!$B$11+1),1,0)</f>
        <v>1</v>
      </c>
      <c r="E58" s="36">
        <f>IF(A58&lt;(Other_DCF!$B$12+1),1,0)</f>
        <v>1</v>
      </c>
      <c r="F58" s="98">
        <f xml:space="preserve"> -Other_DCF!$B$32*D58</f>
        <v>-545986.75996694015</v>
      </c>
      <c r="G58" s="124">
        <f>-F58*Other_DCF!$B$9</f>
        <v>0</v>
      </c>
      <c r="H58" s="124">
        <f>-Other_DCF!$B$28*C58</f>
        <v>-715883.28739350592</v>
      </c>
      <c r="I58" s="98">
        <f t="shared" si="20"/>
        <v>1285415.0968882828</v>
      </c>
      <c r="J58" s="98">
        <f t="shared" si="3"/>
        <v>665937.94176139811</v>
      </c>
      <c r="K58" s="98">
        <f>-I58*Other_DCF!$B$7</f>
        <v>-96406.132266621207</v>
      </c>
      <c r="L58" s="124">
        <f>-(K58*Other_DCF!$B$9)</f>
        <v>0</v>
      </c>
      <c r="M58" s="98">
        <f t="shared" si="9"/>
        <v>-204558.79398132479</v>
      </c>
      <c r="N58" s="98">
        <f t="shared" si="10"/>
        <v>0</v>
      </c>
      <c r="O58" s="98">
        <f t="shared" si="11"/>
        <v>0</v>
      </c>
      <c r="P58" s="98">
        <f t="shared" si="12"/>
        <v>0</v>
      </c>
      <c r="Q58" s="124">
        <f t="shared" si="13"/>
        <v>-204558.79398132479</v>
      </c>
      <c r="R58" s="98">
        <f t="shared" si="14"/>
        <v>0</v>
      </c>
      <c r="S58" s="98">
        <f t="shared" si="15"/>
        <v>0</v>
      </c>
      <c r="T58" s="124">
        <f t="shared" si="16"/>
        <v>0</v>
      </c>
      <c r="U58" s="124">
        <f t="shared" si="17"/>
        <v>-920442.08137483068</v>
      </c>
      <c r="V58" s="68">
        <f t="shared" si="2"/>
        <v>-390357.29456087842</v>
      </c>
      <c r="W58" s="124">
        <f t="shared" si="4"/>
        <v>-604804.67464787373</v>
      </c>
      <c r="X58" s="124">
        <f t="shared" si="18"/>
        <v>-1525246.7560227043</v>
      </c>
      <c r="Y58" s="124">
        <f>Baseline_DCF!U58</f>
        <v>-2341618.0686518727</v>
      </c>
      <c r="Z58" s="124">
        <f t="shared" si="19"/>
        <v>816371.31262916839</v>
      </c>
      <c r="AA58" s="68">
        <f t="shared" si="5"/>
        <v>346221.1293936494</v>
      </c>
      <c r="AB58" s="124">
        <f t="shared" si="6"/>
        <v>920442.08137483068</v>
      </c>
      <c r="AC58" s="124">
        <f t="shared" si="7"/>
        <v>604804.67464787373</v>
      </c>
    </row>
    <row r="59" spans="1:29" ht="14.4" x14ac:dyDescent="0.3">
      <c r="A59" s="35">
        <f t="shared" si="8"/>
        <v>10</v>
      </c>
      <c r="B59" s="44">
        <f>1/(1+Other_DCF!$B$8)^A59</f>
        <v>0.38554328942953148</v>
      </c>
      <c r="C59" s="36">
        <f>IF(A59&lt;(Other_DCF!$B$6+1),1,0)</f>
        <v>1</v>
      </c>
      <c r="D59" s="36">
        <f>IF(A59&lt;(Other_DCF!$B$11+1),1,0)</f>
        <v>1</v>
      </c>
      <c r="E59" s="36">
        <f>IF(A59&lt;(Other_DCF!$B$12+1),1,0)</f>
        <v>1</v>
      </c>
      <c r="F59" s="98">
        <f xml:space="preserve"> -Other_DCF!$B$32*D59</f>
        <v>-545986.75996694015</v>
      </c>
      <c r="G59" s="124">
        <f>-F59*Other_DCF!$B$9</f>
        <v>0</v>
      </c>
      <c r="H59" s="124">
        <f>-Other_DCF!$B$28*C59</f>
        <v>-715883.28739350592</v>
      </c>
      <c r="I59" s="98">
        <f t="shared" si="20"/>
        <v>665937.94176139811</v>
      </c>
      <c r="J59" s="98">
        <f t="shared" si="3"/>
        <v>-2.9540387913584709E-9</v>
      </c>
      <c r="K59" s="98">
        <f>-I59*Other_DCF!$B$7</f>
        <v>-49945.345632104858</v>
      </c>
      <c r="L59" s="124">
        <f>-(K59*Other_DCF!$B$9)</f>
        <v>0</v>
      </c>
      <c r="M59" s="98">
        <f t="shared" si="9"/>
        <v>-209672.76383085793</v>
      </c>
      <c r="N59" s="98">
        <f t="shared" si="10"/>
        <v>0</v>
      </c>
      <c r="O59" s="98">
        <f t="shared" si="11"/>
        <v>0</v>
      </c>
      <c r="P59" s="98">
        <f t="shared" si="12"/>
        <v>0</v>
      </c>
      <c r="Q59" s="124">
        <f t="shared" si="13"/>
        <v>-209672.76383085793</v>
      </c>
      <c r="R59" s="98">
        <f t="shared" si="14"/>
        <v>0</v>
      </c>
      <c r="S59" s="98">
        <f t="shared" si="15"/>
        <v>0</v>
      </c>
      <c r="T59" s="124">
        <f t="shared" si="16"/>
        <v>0</v>
      </c>
      <c r="U59" s="124">
        <f t="shared" si="17"/>
        <v>-925556.05122436385</v>
      </c>
      <c r="V59" s="68">
        <f t="shared" si="2"/>
        <v>-356841.92454044917</v>
      </c>
      <c r="W59" s="124">
        <f t="shared" si="4"/>
        <v>-617271.05282334727</v>
      </c>
      <c r="X59" s="124">
        <f t="shared" si="18"/>
        <v>-1542827.104047711</v>
      </c>
      <c r="Y59" s="124">
        <f>Baseline_DCF!U59</f>
        <v>-2400158.5203681695</v>
      </c>
      <c r="Z59" s="124">
        <f t="shared" si="19"/>
        <v>857331.41632045852</v>
      </c>
      <c r="AA59" s="68">
        <f t="shared" si="5"/>
        <v>330538.37437946867</v>
      </c>
      <c r="AB59" s="124">
        <f t="shared" si="6"/>
        <v>925556.05122436385</v>
      </c>
      <c r="AC59" s="124">
        <f t="shared" si="7"/>
        <v>617271.05282334727</v>
      </c>
    </row>
    <row r="60" spans="1:29" ht="14.4" x14ac:dyDescent="0.3">
      <c r="A60" s="35">
        <f t="shared" si="8"/>
        <v>11</v>
      </c>
      <c r="B60" s="44">
        <f>1/(1+Other_DCF!$B$8)^A60</f>
        <v>0.3504938994813922</v>
      </c>
      <c r="C60" s="36">
        <f>IF(A60&lt;(Other_DCF!$B$6+1),1,0)</f>
        <v>0</v>
      </c>
      <c r="D60" s="36">
        <f>IF(A60&lt;(Other_DCF!$B$11+1),1,0)</f>
        <v>1</v>
      </c>
      <c r="E60" s="36">
        <f>IF(A60&lt;(Other_DCF!$B$12+1),1,0)</f>
        <v>1</v>
      </c>
      <c r="F60" s="98">
        <f xml:space="preserve"> -Other_DCF!$B$32*D60</f>
        <v>-545986.75996694015</v>
      </c>
      <c r="G60" s="124">
        <f>-F60*Other_DCF!$B$9</f>
        <v>0</v>
      </c>
      <c r="H60" s="124">
        <f>-Other_DCF!$B$28*C60</f>
        <v>0</v>
      </c>
      <c r="I60" s="98">
        <f t="shared" si="20"/>
        <v>-2.9540387913584709E-9</v>
      </c>
      <c r="J60" s="98">
        <f t="shared" si="3"/>
        <v>-3.1755917007103562E-9</v>
      </c>
      <c r="K60" s="98">
        <f>-I60*Other_DCF!$B$7</f>
        <v>2.2155290935188531E-10</v>
      </c>
      <c r="L60" s="124">
        <f>-(K60*Other_DCF!$B$9)</f>
        <v>0</v>
      </c>
      <c r="M60" s="98">
        <f t="shared" si="9"/>
        <v>-214914.58292662937</v>
      </c>
      <c r="N60" s="98">
        <f t="shared" si="10"/>
        <v>0</v>
      </c>
      <c r="O60" s="98">
        <f t="shared" si="11"/>
        <v>0</v>
      </c>
      <c r="P60" s="98">
        <f t="shared" si="12"/>
        <v>0</v>
      </c>
      <c r="Q60" s="124">
        <f t="shared" si="13"/>
        <v>-214914.58292662937</v>
      </c>
      <c r="R60" s="98">
        <f t="shared" si="14"/>
        <v>0</v>
      </c>
      <c r="S60" s="98">
        <f t="shared" si="15"/>
        <v>0</v>
      </c>
      <c r="T60" s="124">
        <f t="shared" si="16"/>
        <v>0</v>
      </c>
      <c r="U60" s="124">
        <f t="shared" si="17"/>
        <v>-214914.58292662937</v>
      </c>
      <c r="V60" s="68">
        <f t="shared" si="2"/>
        <v>-75326.250225371361</v>
      </c>
      <c r="W60" s="124">
        <f t="shared" si="4"/>
        <v>-523899.54282427381</v>
      </c>
      <c r="X60" s="124">
        <f t="shared" si="18"/>
        <v>-738814.12575090316</v>
      </c>
      <c r="Y60" s="124">
        <f>Baseline_DCF!U60</f>
        <v>-2460162.4833773738</v>
      </c>
      <c r="Z60" s="124">
        <f t="shared" si="19"/>
        <v>1721348.3576264707</v>
      </c>
      <c r="AA60" s="68">
        <f t="shared" si="5"/>
        <v>603322.09823039174</v>
      </c>
      <c r="AB60" s="124">
        <f t="shared" si="6"/>
        <v>214914.58292662937</v>
      </c>
      <c r="AC60" s="124">
        <f t="shared" si="7"/>
        <v>523899.54282427381</v>
      </c>
    </row>
    <row r="61" spans="1:29" ht="14.4" x14ac:dyDescent="0.3">
      <c r="A61" s="35">
        <f t="shared" si="8"/>
        <v>12</v>
      </c>
      <c r="B61" s="44">
        <f>1/(1+Other_DCF!$B$8)^A61</f>
        <v>0.31863081771035656</v>
      </c>
      <c r="C61" s="36">
        <f>IF(A61&lt;(Other_DCF!$B$6+1),1,0)</f>
        <v>0</v>
      </c>
      <c r="D61" s="36">
        <f>IF(A61&lt;(Other_DCF!$B$11+1),1,0)</f>
        <v>1</v>
      </c>
      <c r="E61" s="36">
        <f>IF(A61&lt;(Other_DCF!$B$12+1),1,0)</f>
        <v>1</v>
      </c>
      <c r="F61" s="98">
        <f xml:space="preserve"> -Other_DCF!$B$32*D61</f>
        <v>-545986.75996694015</v>
      </c>
      <c r="G61" s="124">
        <f>-F61*Other_DCF!$B$9</f>
        <v>0</v>
      </c>
      <c r="H61" s="124">
        <f>-Other_DCF!$B$28*C61</f>
        <v>0</v>
      </c>
      <c r="I61" s="98">
        <f t="shared" si="20"/>
        <v>-3.1755917007103562E-9</v>
      </c>
      <c r="J61" s="98">
        <f t="shared" si="3"/>
        <v>-3.4137610782636328E-9</v>
      </c>
      <c r="K61" s="98">
        <f>-I61*Other_DCF!$B$7</f>
        <v>2.3816937755327672E-10</v>
      </c>
      <c r="L61" s="124">
        <f>-(K61*Other_DCF!$B$9)</f>
        <v>0</v>
      </c>
      <c r="M61" s="98">
        <f t="shared" si="9"/>
        <v>-220287.44749979509</v>
      </c>
      <c r="N61" s="98">
        <f t="shared" si="10"/>
        <v>0</v>
      </c>
      <c r="O61" s="98">
        <f t="shared" si="11"/>
        <v>0</v>
      </c>
      <c r="P61" s="98">
        <f t="shared" si="12"/>
        <v>0</v>
      </c>
      <c r="Q61" s="124">
        <f t="shared" si="13"/>
        <v>-220287.44749979509</v>
      </c>
      <c r="R61" s="98">
        <f t="shared" si="14"/>
        <v>0</v>
      </c>
      <c r="S61" s="98">
        <f t="shared" si="15"/>
        <v>0</v>
      </c>
      <c r="T61" s="124">
        <f t="shared" si="16"/>
        <v>0</v>
      </c>
      <c r="U61" s="124">
        <f t="shared" si="17"/>
        <v>-220287.44749979509</v>
      </c>
      <c r="V61" s="68">
        <f t="shared" si="2"/>
        <v>-70190.369528186944</v>
      </c>
      <c r="W61" s="124">
        <f t="shared" si="4"/>
        <v>-536997.03139488061</v>
      </c>
      <c r="X61" s="124">
        <f t="shared" si="18"/>
        <v>-757284.47889467573</v>
      </c>
      <c r="Y61" s="124">
        <f>Baseline_DCF!U61</f>
        <v>-2521666.5454618079</v>
      </c>
      <c r="Z61" s="124">
        <f t="shared" si="19"/>
        <v>1764382.0665671322</v>
      </c>
      <c r="AA61" s="68">
        <f t="shared" si="5"/>
        <v>562186.50062377413</v>
      </c>
      <c r="AB61" s="124">
        <f t="shared" si="6"/>
        <v>220287.44749979509</v>
      </c>
      <c r="AC61" s="124">
        <f t="shared" si="7"/>
        <v>536997.03139488061</v>
      </c>
    </row>
    <row r="62" spans="1:29" ht="14.4" x14ac:dyDescent="0.3">
      <c r="A62" s="35">
        <f t="shared" si="8"/>
        <v>13</v>
      </c>
      <c r="B62" s="44">
        <f>1/(1+Other_DCF!$B$8)^A62</f>
        <v>0.28966437973668779</v>
      </c>
      <c r="C62" s="36">
        <f>IF(A62&lt;(Other_DCF!$B$6+1),1,0)</f>
        <v>0</v>
      </c>
      <c r="D62" s="36">
        <f>IF(A62&lt;(Other_DCF!$B$11+1),1,0)</f>
        <v>1</v>
      </c>
      <c r="E62" s="36">
        <f>IF(A62&lt;(Other_DCF!$B$12+1),1,0)</f>
        <v>1</v>
      </c>
      <c r="F62" s="98">
        <f xml:space="preserve"> -Other_DCF!$B$32*D62</f>
        <v>-545986.75996694015</v>
      </c>
      <c r="G62" s="124">
        <f>-F62*Other_DCF!$B$9</f>
        <v>0</v>
      </c>
      <c r="H62" s="124">
        <f>-Other_DCF!$B$28*C62</f>
        <v>0</v>
      </c>
      <c r="I62" s="98">
        <f t="shared" si="20"/>
        <v>-3.4137610782636328E-9</v>
      </c>
      <c r="J62" s="98">
        <f t="shared" si="3"/>
        <v>-3.6697931591334051E-9</v>
      </c>
      <c r="K62" s="98">
        <f>-I62*Other_DCF!$B$7</f>
        <v>2.5603208086977246E-10</v>
      </c>
      <c r="L62" s="124">
        <f>-(K62*Other_DCF!$B$9)</f>
        <v>0</v>
      </c>
      <c r="M62" s="98">
        <f t="shared" si="9"/>
        <v>-225794.63368728996</v>
      </c>
      <c r="N62" s="98">
        <f t="shared" si="10"/>
        <v>0</v>
      </c>
      <c r="O62" s="98">
        <f t="shared" si="11"/>
        <v>0</v>
      </c>
      <c r="P62" s="98">
        <f t="shared" si="12"/>
        <v>0</v>
      </c>
      <c r="Q62" s="124">
        <f t="shared" si="13"/>
        <v>-225794.63368728996</v>
      </c>
      <c r="R62" s="98">
        <f t="shared" si="14"/>
        <v>0</v>
      </c>
      <c r="S62" s="98">
        <f t="shared" si="15"/>
        <v>0</v>
      </c>
      <c r="T62" s="124">
        <f t="shared" si="16"/>
        <v>0</v>
      </c>
      <c r="U62" s="124">
        <f t="shared" si="17"/>
        <v>-225794.63368728996</v>
      </c>
      <c r="V62" s="68">
        <f t="shared" si="2"/>
        <v>-65404.662514901473</v>
      </c>
      <c r="W62" s="124">
        <f t="shared" si="4"/>
        <v>-550421.95717975264</v>
      </c>
      <c r="X62" s="124">
        <f t="shared" si="18"/>
        <v>-776216.59086704254</v>
      </c>
      <c r="Y62" s="124">
        <f>Baseline_DCF!U62</f>
        <v>-2584708.2090983531</v>
      </c>
      <c r="Z62" s="124">
        <f t="shared" si="19"/>
        <v>1808491.6182313105</v>
      </c>
      <c r="AA62" s="68">
        <f t="shared" si="5"/>
        <v>523855.60285397136</v>
      </c>
      <c r="AB62" s="124">
        <f t="shared" si="6"/>
        <v>225794.63368728996</v>
      </c>
      <c r="AC62" s="124">
        <f t="shared" si="7"/>
        <v>550421.95717975264</v>
      </c>
    </row>
    <row r="63" spans="1:29" ht="14.4" x14ac:dyDescent="0.3">
      <c r="A63" s="35">
        <f t="shared" si="8"/>
        <v>14</v>
      </c>
      <c r="B63" s="44">
        <f>1/(1+Other_DCF!$B$8)^A63</f>
        <v>0.26333125430607973</v>
      </c>
      <c r="C63" s="36">
        <f>IF(A63&lt;(Other_DCF!$B$6+1),1,0)</f>
        <v>0</v>
      </c>
      <c r="D63" s="36">
        <f>IF(A63&lt;(Other_DCF!$B$11+1),1,0)</f>
        <v>1</v>
      </c>
      <c r="E63" s="36">
        <f>IF(A63&lt;(Other_DCF!$B$12+1),1,0)</f>
        <v>1</v>
      </c>
      <c r="F63" s="98">
        <f xml:space="preserve"> -Other_DCF!$B$32*D63</f>
        <v>-545986.75996694015</v>
      </c>
      <c r="G63" s="124">
        <f>-F63*Other_DCF!$B$9</f>
        <v>0</v>
      </c>
      <c r="H63" s="124">
        <f>-Other_DCF!$B$28*C63</f>
        <v>0</v>
      </c>
      <c r="I63" s="98">
        <f t="shared" si="20"/>
        <v>-3.6697931591334051E-9</v>
      </c>
      <c r="J63" s="98">
        <f t="shared" si="3"/>
        <v>-3.9450276460684102E-9</v>
      </c>
      <c r="K63" s="98">
        <f>-I63*Other_DCF!$B$7</f>
        <v>2.7523448693500537E-10</v>
      </c>
      <c r="L63" s="124">
        <f>-(K63*Other_DCF!$B$9)</f>
        <v>0</v>
      </c>
      <c r="M63" s="98">
        <f t="shared" si="9"/>
        <v>-231439.49952947217</v>
      </c>
      <c r="N63" s="98">
        <f t="shared" si="10"/>
        <v>0</v>
      </c>
      <c r="O63" s="98">
        <f t="shared" si="11"/>
        <v>0</v>
      </c>
      <c r="P63" s="98">
        <f t="shared" si="12"/>
        <v>0</v>
      </c>
      <c r="Q63" s="124">
        <f t="shared" si="13"/>
        <v>-231439.49952947217</v>
      </c>
      <c r="R63" s="98">
        <f t="shared" si="14"/>
        <v>0</v>
      </c>
      <c r="S63" s="98">
        <f t="shared" si="15"/>
        <v>0</v>
      </c>
      <c r="T63" s="124">
        <f t="shared" si="16"/>
        <v>0</v>
      </c>
      <c r="U63" s="124">
        <f t="shared" si="17"/>
        <v>-231439.49952947217</v>
      </c>
      <c r="V63" s="68">
        <f t="shared" si="2"/>
        <v>-60945.253707067255</v>
      </c>
      <c r="W63" s="124">
        <f t="shared" si="4"/>
        <v>-564182.50610924629</v>
      </c>
      <c r="X63" s="124">
        <f t="shared" si="18"/>
        <v>-795622.00563871849</v>
      </c>
      <c r="Y63" s="124">
        <f>Baseline_DCF!U63</f>
        <v>-2649325.9143258114</v>
      </c>
      <c r="Z63" s="124">
        <f t="shared" si="19"/>
        <v>1853703.9086870928</v>
      </c>
      <c r="AA63" s="68">
        <f t="shared" si="5"/>
        <v>488138.17538665485</v>
      </c>
      <c r="AB63" s="124">
        <f t="shared" si="6"/>
        <v>231439.49952947217</v>
      </c>
      <c r="AC63" s="124">
        <f t="shared" si="7"/>
        <v>564182.50610924629</v>
      </c>
    </row>
    <row r="64" spans="1:29" ht="14.4" x14ac:dyDescent="0.3">
      <c r="A64" s="35">
        <f t="shared" si="8"/>
        <v>15</v>
      </c>
      <c r="B64" s="44">
        <f>1/(1+Other_DCF!$B$8)^A64</f>
        <v>0.23939204936916339</v>
      </c>
      <c r="C64" s="36">
        <f>IF(A64&lt;(Other_DCF!$B$6+1),1,0)</f>
        <v>0</v>
      </c>
      <c r="D64" s="36">
        <f>IF(A64&lt;(Other_DCF!$B$11+1),1,0)</f>
        <v>1</v>
      </c>
      <c r="E64" s="36">
        <f>IF(A64&lt;(Other_DCF!$B$12+1),1,0)</f>
        <v>1</v>
      </c>
      <c r="F64" s="98">
        <f xml:space="preserve"> -Other_DCF!$B$32*D64</f>
        <v>-545986.75996694015</v>
      </c>
      <c r="G64" s="124">
        <f>-F64*Other_DCF!$B$9</f>
        <v>0</v>
      </c>
      <c r="H64" s="124">
        <f>-Other_DCF!$B$28*C64</f>
        <v>0</v>
      </c>
      <c r="I64" s="98">
        <f t="shared" si="20"/>
        <v>-3.9450276460684102E-9</v>
      </c>
      <c r="J64" s="98">
        <f t="shared" si="3"/>
        <v>-4.2409047195235411E-9</v>
      </c>
      <c r="K64" s="98">
        <f>-I64*Other_DCF!$B$7</f>
        <v>2.9587707345513077E-10</v>
      </c>
      <c r="L64" s="124">
        <f>-(K64*Other_DCF!$B$9)</f>
        <v>0</v>
      </c>
      <c r="M64" s="98">
        <f t="shared" si="9"/>
        <v>-237225.48701770901</v>
      </c>
      <c r="N64" s="98">
        <f t="shared" si="10"/>
        <v>0</v>
      </c>
      <c r="O64" s="98">
        <f t="shared" si="11"/>
        <v>0</v>
      </c>
      <c r="P64" s="98">
        <f t="shared" si="12"/>
        <v>0</v>
      </c>
      <c r="Q64" s="124">
        <f t="shared" si="13"/>
        <v>-237225.48701770901</v>
      </c>
      <c r="R64" s="98">
        <f t="shared" si="14"/>
        <v>0</v>
      </c>
      <c r="S64" s="98">
        <f t="shared" si="15"/>
        <v>0</v>
      </c>
      <c r="T64" s="124">
        <f t="shared" si="16"/>
        <v>0</v>
      </c>
      <c r="U64" s="124">
        <f t="shared" si="17"/>
        <v>-237225.48701770901</v>
      </c>
      <c r="V64" s="68">
        <f t="shared" si="2"/>
        <v>-56789.895499767226</v>
      </c>
      <c r="W64" s="124">
        <f t="shared" si="4"/>
        <v>-578287.0687619776</v>
      </c>
      <c r="X64" s="124">
        <f t="shared" si="18"/>
        <v>-815512.55577968666</v>
      </c>
      <c r="Y64" s="124">
        <f>Baseline_DCF!U64</f>
        <v>-2715559.0621839571</v>
      </c>
      <c r="Z64" s="124">
        <f t="shared" si="19"/>
        <v>1900046.5064042704</v>
      </c>
      <c r="AA64" s="68">
        <f t="shared" si="5"/>
        <v>454856.02706483752</v>
      </c>
      <c r="AB64" s="124">
        <f t="shared" si="6"/>
        <v>237225.48701770901</v>
      </c>
      <c r="AC64" s="124">
        <f t="shared" si="7"/>
        <v>578287.0687619776</v>
      </c>
    </row>
    <row r="65" spans="1:29" ht="14.4" x14ac:dyDescent="0.3">
      <c r="A65" s="35">
        <f t="shared" si="8"/>
        <v>16</v>
      </c>
      <c r="B65" s="44">
        <f>1/(1+Other_DCF!$B$8)^A65</f>
        <v>0.21762913579014853</v>
      </c>
      <c r="C65" s="36">
        <f>IF(A65&lt;(Other_DCF!$B$6+1),1,0)</f>
        <v>0</v>
      </c>
      <c r="D65" s="36">
        <f>IF(A65&lt;(Other_DCF!$B$11+1),1,0)</f>
        <v>0</v>
      </c>
      <c r="E65" s="36">
        <f>IF(A65&lt;(Other_DCF!$B$12+1),1,0)</f>
        <v>1</v>
      </c>
      <c r="F65" s="98">
        <f xml:space="preserve"> -Other_DCF!$B$32*D65</f>
        <v>0</v>
      </c>
      <c r="G65" s="124">
        <f>-F65*Other_DCF!$B$9</f>
        <v>0</v>
      </c>
      <c r="H65" s="124">
        <f>-Other_DCF!$B$28*C65</f>
        <v>0</v>
      </c>
      <c r="I65" s="98">
        <f>J64</f>
        <v>-4.2409047195235411E-9</v>
      </c>
      <c r="J65" s="98">
        <f t="shared" si="3"/>
        <v>-4.5589725734878067E-9</v>
      </c>
      <c r="K65" s="98">
        <f>-I65*Other_DCF!$B$7</f>
        <v>3.1806785396426557E-10</v>
      </c>
      <c r="L65" s="124">
        <f>-(K65*Other_DCF!$B$9)</f>
        <v>0</v>
      </c>
      <c r="M65" s="98">
        <f t="shared" si="9"/>
        <v>-243156.12419315171</v>
      </c>
      <c r="N65" s="98">
        <f t="shared" si="10"/>
        <v>0</v>
      </c>
      <c r="O65" s="98">
        <f t="shared" si="11"/>
        <v>0</v>
      </c>
      <c r="P65" s="98">
        <f t="shared" si="12"/>
        <v>0</v>
      </c>
      <c r="Q65" s="124">
        <f t="shared" si="13"/>
        <v>-243156.12419315171</v>
      </c>
      <c r="R65" s="98">
        <f t="shared" si="14"/>
        <v>0</v>
      </c>
      <c r="S65" s="98">
        <f t="shared" si="15"/>
        <v>0</v>
      </c>
      <c r="T65" s="124">
        <f t="shared" si="16"/>
        <v>0</v>
      </c>
      <c r="U65" s="124">
        <f t="shared" si="17"/>
        <v>-243156.12419315171</v>
      </c>
      <c r="V65" s="68">
        <f t="shared" si="2"/>
        <v>-52917.857170237636</v>
      </c>
      <c r="W65" s="124">
        <f t="shared" si="4"/>
        <v>-592744.24548102706</v>
      </c>
      <c r="X65" s="124">
        <f t="shared" si="18"/>
        <v>-835900.36967417877</v>
      </c>
      <c r="Y65" s="124">
        <f>Baseline_DCF!U65</f>
        <v>-2783448.0387385557</v>
      </c>
      <c r="Z65" s="124">
        <f t="shared" si="19"/>
        <v>1947547.669064377</v>
      </c>
      <c r="AA65" s="68">
        <f t="shared" si="5"/>
        <v>423843.11612859857</v>
      </c>
      <c r="AB65" s="124">
        <f t="shared" si="6"/>
        <v>243156.12419315171</v>
      </c>
      <c r="AC65" s="124">
        <f t="shared" si="7"/>
        <v>592744.24548102706</v>
      </c>
    </row>
    <row r="66" spans="1:29" ht="14.4" x14ac:dyDescent="0.3">
      <c r="A66" s="35">
        <f t="shared" si="8"/>
        <v>17</v>
      </c>
      <c r="B66" s="44">
        <f>1/(1+Other_DCF!$B$8)^A66</f>
        <v>0.19784466890013502</v>
      </c>
      <c r="C66" s="36">
        <f>IF(A66&lt;(Other_DCF!$B$6+1),1,0)</f>
        <v>0</v>
      </c>
      <c r="D66" s="36">
        <f>IF(A66&lt;(Other_DCF!$B$11+1),1,0)</f>
        <v>0</v>
      </c>
      <c r="E66" s="36">
        <f>IF(A66&lt;(Other_DCF!$B$12+1),1,0)</f>
        <v>1</v>
      </c>
      <c r="F66" s="98">
        <f xml:space="preserve"> -Other_DCF!$B$32*D66</f>
        <v>0</v>
      </c>
      <c r="G66" s="124">
        <f>-F66*Other_DCF!$B$9</f>
        <v>0</v>
      </c>
      <c r="H66" s="124">
        <f>-Other_DCF!$B$28*C66</f>
        <v>0</v>
      </c>
      <c r="I66" s="98">
        <f t="shared" ref="I66:I89" si="21">J65</f>
        <v>-4.5589725734878067E-9</v>
      </c>
      <c r="J66" s="98">
        <f t="shared" si="3"/>
        <v>-4.9008955164993921E-9</v>
      </c>
      <c r="K66" s="98">
        <f>-I66*Other_DCF!$B$7</f>
        <v>3.4192294301158548E-10</v>
      </c>
      <c r="L66" s="124">
        <f>-(K66*Other_DCF!$B$9)</f>
        <v>0</v>
      </c>
      <c r="M66" s="98">
        <f t="shared" si="9"/>
        <v>-249235.02729798047</v>
      </c>
      <c r="N66" s="98">
        <f t="shared" si="10"/>
        <v>0</v>
      </c>
      <c r="O66" s="98">
        <f t="shared" si="11"/>
        <v>0</v>
      </c>
      <c r="P66" s="98">
        <f t="shared" si="12"/>
        <v>0</v>
      </c>
      <c r="Q66" s="124">
        <f t="shared" si="13"/>
        <v>-249235.02729798047</v>
      </c>
      <c r="R66" s="98">
        <f t="shared" si="14"/>
        <v>0</v>
      </c>
      <c r="S66" s="98">
        <f t="shared" si="15"/>
        <v>0</v>
      </c>
      <c r="T66" s="124">
        <f t="shared" si="16"/>
        <v>0</v>
      </c>
      <c r="U66" s="124">
        <f t="shared" si="17"/>
        <v>-249235.02729798047</v>
      </c>
      <c r="V66" s="68">
        <f t="shared" si="2"/>
        <v>-49309.82145408506</v>
      </c>
      <c r="W66" s="124">
        <f t="shared" si="4"/>
        <v>-607562.85161805258</v>
      </c>
      <c r="X66" s="124">
        <f t="shared" si="18"/>
        <v>-856797.87891603308</v>
      </c>
      <c r="Y66" s="124">
        <f>Baseline_DCF!U66</f>
        <v>-2853034.2397070192</v>
      </c>
      <c r="Z66" s="124">
        <f t="shared" si="19"/>
        <v>1996236.3607909861</v>
      </c>
      <c r="AA66" s="68">
        <f t="shared" si="5"/>
        <v>394944.72184710315</v>
      </c>
      <c r="AB66" s="124">
        <f t="shared" si="6"/>
        <v>249235.02729798047</v>
      </c>
      <c r="AC66" s="124">
        <f t="shared" si="7"/>
        <v>607562.85161805258</v>
      </c>
    </row>
    <row r="67" spans="1:29" ht="14.4" x14ac:dyDescent="0.3">
      <c r="A67" s="35">
        <f t="shared" si="8"/>
        <v>18</v>
      </c>
      <c r="B67" s="44">
        <f>1/(1+Other_DCF!$B$8)^A67</f>
        <v>0.17985878990921364</v>
      </c>
      <c r="C67" s="36">
        <f>IF(A67&lt;(Other_DCF!$B$6+1),1,0)</f>
        <v>0</v>
      </c>
      <c r="D67" s="36">
        <f>IF(A67&lt;(Other_DCF!$B$11+1),1,0)</f>
        <v>0</v>
      </c>
      <c r="E67" s="36">
        <f>IF(A67&lt;(Other_DCF!$B$12+1),1,0)</f>
        <v>1</v>
      </c>
      <c r="F67" s="98">
        <f xml:space="preserve"> -Other_DCF!$B$32*D67</f>
        <v>0</v>
      </c>
      <c r="G67" s="124">
        <f>-F67*Other_DCF!$B$9</f>
        <v>0</v>
      </c>
      <c r="H67" s="124">
        <f>-Other_DCF!$B$28*C67</f>
        <v>0</v>
      </c>
      <c r="I67" s="98">
        <f t="shared" si="21"/>
        <v>-4.9008955164993921E-9</v>
      </c>
      <c r="J67" s="98">
        <f t="shared" si="3"/>
        <v>-5.2684626802368468E-9</v>
      </c>
      <c r="K67" s="98">
        <f>-I67*Other_DCF!$B$7</f>
        <v>3.6756716373745442E-10</v>
      </c>
      <c r="L67" s="124">
        <f>-(K67*Other_DCF!$B$9)</f>
        <v>0</v>
      </c>
      <c r="M67" s="98">
        <f t="shared" si="9"/>
        <v>-255465.90298042999</v>
      </c>
      <c r="N67" s="98">
        <f t="shared" si="10"/>
        <v>0</v>
      </c>
      <c r="O67" s="98">
        <f t="shared" si="11"/>
        <v>0</v>
      </c>
      <c r="P67" s="98">
        <f t="shared" si="12"/>
        <v>0</v>
      </c>
      <c r="Q67" s="124">
        <f t="shared" si="13"/>
        <v>-255465.90298042999</v>
      </c>
      <c r="R67" s="98">
        <f t="shared" si="14"/>
        <v>0</v>
      </c>
      <c r="S67" s="98">
        <f t="shared" si="15"/>
        <v>0</v>
      </c>
      <c r="T67" s="124">
        <f t="shared" si="16"/>
        <v>0</v>
      </c>
      <c r="U67" s="124">
        <f t="shared" si="17"/>
        <v>-255465.90298042999</v>
      </c>
      <c r="V67" s="68">
        <f t="shared" si="2"/>
        <v>-45947.788173124711</v>
      </c>
      <c r="W67" s="124">
        <f t="shared" si="4"/>
        <v>-622751.92290850391</v>
      </c>
      <c r="X67" s="124">
        <f t="shared" si="18"/>
        <v>-878217.82588893385</v>
      </c>
      <c r="Y67" s="124">
        <f>Baseline_DCF!U67</f>
        <v>-2924360.0956996949</v>
      </c>
      <c r="Z67" s="124">
        <f t="shared" si="19"/>
        <v>2046142.2698107611</v>
      </c>
      <c r="AA67" s="68">
        <f t="shared" si="5"/>
        <v>368016.67263025523</v>
      </c>
      <c r="AB67" s="124">
        <f t="shared" si="6"/>
        <v>255465.90298042999</v>
      </c>
      <c r="AC67" s="124">
        <f t="shared" si="7"/>
        <v>622751.92290850391</v>
      </c>
    </row>
    <row r="68" spans="1:29" ht="14.4" x14ac:dyDescent="0.3">
      <c r="A68" s="35">
        <f t="shared" si="8"/>
        <v>19</v>
      </c>
      <c r="B68" s="44">
        <f>1/(1+Other_DCF!$B$8)^A68</f>
        <v>0.16350799082655781</v>
      </c>
      <c r="C68" s="36">
        <f>IF(A68&lt;(Other_DCF!$B$6+1),1,0)</f>
        <v>0</v>
      </c>
      <c r="D68" s="36">
        <f>IF(A68&lt;(Other_DCF!$B$11+1),1,0)</f>
        <v>0</v>
      </c>
      <c r="E68" s="36">
        <f>IF(A68&lt;(Other_DCF!$B$12+1),1,0)</f>
        <v>1</v>
      </c>
      <c r="F68" s="98">
        <f xml:space="preserve"> -Other_DCF!$B$32*D68</f>
        <v>0</v>
      </c>
      <c r="G68" s="124">
        <f>-F68*Other_DCF!$B$9</f>
        <v>0</v>
      </c>
      <c r="H68" s="124">
        <f>-Other_DCF!$B$28*C68</f>
        <v>0</v>
      </c>
      <c r="I68" s="98">
        <f t="shared" si="21"/>
        <v>-5.2684626802368468E-9</v>
      </c>
      <c r="J68" s="98">
        <f t="shared" si="3"/>
        <v>-5.6635973812546101E-9</v>
      </c>
      <c r="K68" s="98">
        <f>-I68*Other_DCF!$B$7</f>
        <v>3.951347010177635E-10</v>
      </c>
      <c r="L68" s="124">
        <f>-(K68*Other_DCF!$B$9)</f>
        <v>0</v>
      </c>
      <c r="M68" s="98">
        <f t="shared" si="9"/>
        <v>-261852.55055494074</v>
      </c>
      <c r="N68" s="98">
        <f t="shared" si="10"/>
        <v>0</v>
      </c>
      <c r="O68" s="98">
        <f t="shared" si="11"/>
        <v>0</v>
      </c>
      <c r="P68" s="98">
        <f t="shared" si="12"/>
        <v>0</v>
      </c>
      <c r="Q68" s="124">
        <f t="shared" si="13"/>
        <v>-261852.55055494074</v>
      </c>
      <c r="R68" s="98">
        <f t="shared" si="14"/>
        <v>0</v>
      </c>
      <c r="S68" s="98">
        <f t="shared" si="15"/>
        <v>0</v>
      </c>
      <c r="T68" s="124">
        <f t="shared" si="16"/>
        <v>0</v>
      </c>
      <c r="U68" s="124">
        <f t="shared" si="17"/>
        <v>-261852.55055494074</v>
      </c>
      <c r="V68" s="68">
        <f t="shared" si="2"/>
        <v>-42814.984434048019</v>
      </c>
      <c r="W68" s="124">
        <f t="shared" si="4"/>
        <v>-638320.72098121652</v>
      </c>
      <c r="X68" s="124">
        <f t="shared" si="18"/>
        <v>-900173.27153615723</v>
      </c>
      <c r="Y68" s="124">
        <f>Baseline_DCF!U68</f>
        <v>-2997469.0980921872</v>
      </c>
      <c r="Z68" s="124">
        <f t="shared" si="19"/>
        <v>2097295.8265560297</v>
      </c>
      <c r="AA68" s="68">
        <f t="shared" si="5"/>
        <v>342924.62676910131</v>
      </c>
      <c r="AB68" s="124">
        <f t="shared" si="6"/>
        <v>261852.55055494074</v>
      </c>
      <c r="AC68" s="124">
        <f t="shared" si="7"/>
        <v>638320.72098121652</v>
      </c>
    </row>
    <row r="69" spans="1:29" ht="14.4" x14ac:dyDescent="0.3">
      <c r="A69" s="35">
        <f t="shared" si="8"/>
        <v>20</v>
      </c>
      <c r="B69" s="44">
        <f>1/(1+Other_DCF!$B$8)^A69</f>
        <v>0.14864362802414349</v>
      </c>
      <c r="C69" s="36">
        <f>IF(A69&lt;(Other_DCF!$B$6+1),1,0)</f>
        <v>0</v>
      </c>
      <c r="D69" s="36">
        <f>IF(A69&lt;(Other_DCF!$B$11+1),1,0)</f>
        <v>0</v>
      </c>
      <c r="E69" s="36">
        <f>IF(A69&lt;(Other_DCF!$B$12+1),1,0)</f>
        <v>1</v>
      </c>
      <c r="F69" s="98">
        <f xml:space="preserve"> -Other_DCF!$B$32*D69</f>
        <v>0</v>
      </c>
      <c r="G69" s="124">
        <f>-F69*Other_DCF!$B$9</f>
        <v>0</v>
      </c>
      <c r="H69" s="124">
        <f>-Other_DCF!$B$28*C69</f>
        <v>0</v>
      </c>
      <c r="I69" s="98">
        <f t="shared" si="21"/>
        <v>-5.6635973812546101E-9</v>
      </c>
      <c r="J69" s="98">
        <f t="shared" si="3"/>
        <v>-6.0883671848487057E-9</v>
      </c>
      <c r="K69" s="98">
        <f>-I69*Other_DCF!$B$7</f>
        <v>4.2476980359409574E-10</v>
      </c>
      <c r="L69" s="124">
        <f>-(K69*Other_DCF!$B$9)</f>
        <v>0</v>
      </c>
      <c r="M69" s="98">
        <f t="shared" si="9"/>
        <v>-268398.86431881425</v>
      </c>
      <c r="N69" s="98">
        <f t="shared" si="10"/>
        <v>0</v>
      </c>
      <c r="O69" s="98">
        <f t="shared" si="11"/>
        <v>0</v>
      </c>
      <c r="P69" s="98">
        <f t="shared" si="12"/>
        <v>0</v>
      </c>
      <c r="Q69" s="124">
        <f t="shared" si="13"/>
        <v>-268398.86431881425</v>
      </c>
      <c r="R69" s="98">
        <f t="shared" si="14"/>
        <v>0</v>
      </c>
      <c r="S69" s="98">
        <f t="shared" si="15"/>
        <v>0</v>
      </c>
      <c r="T69" s="124">
        <f t="shared" si="16"/>
        <v>0</v>
      </c>
      <c r="U69" s="124">
        <f t="shared" si="17"/>
        <v>141091.20565639087</v>
      </c>
      <c r="V69" s="68">
        <f t="shared" si="2"/>
        <v>20972.308691066493</v>
      </c>
      <c r="W69" s="124">
        <f t="shared" si="4"/>
        <v>-593560.48164193798</v>
      </c>
      <c r="X69" s="124">
        <f t="shared" si="18"/>
        <v>-452469.27598554711</v>
      </c>
      <c r="Y69" s="124">
        <f>Baseline_DCF!U69</f>
        <v>-3072405.8255444919</v>
      </c>
      <c r="Z69" s="124">
        <f>X69-Y69</f>
        <v>2619936.549558945</v>
      </c>
      <c r="AA69" s="68">
        <f t="shared" si="5"/>
        <v>389436.87391949783</v>
      </c>
      <c r="AB69" s="124">
        <f t="shared" si="6"/>
        <v>-141091.20565639087</v>
      </c>
      <c r="AC69" s="124">
        <f t="shared" si="7"/>
        <v>593560.48164193798</v>
      </c>
    </row>
    <row r="70" spans="1:29" ht="14.4" x14ac:dyDescent="0.3">
      <c r="A70" s="35">
        <f t="shared" si="8"/>
        <v>21</v>
      </c>
      <c r="B70" s="44">
        <f>1/(1+Other_DCF!$B$8)^A70</f>
        <v>0.13513057093103953</v>
      </c>
      <c r="C70" s="36">
        <f>IF(A70&lt;(Other_DCF!$B$6+1),1,0)</f>
        <v>0</v>
      </c>
      <c r="D70" s="36">
        <f>IF(A70&lt;(Other_DCF!$B$11+1),1,0)</f>
        <v>0</v>
      </c>
      <c r="E70" s="36">
        <f>IF(A70&lt;(Other_DCF!$B$12+1),1,0)</f>
        <v>0</v>
      </c>
      <c r="F70" s="98">
        <f xml:space="preserve"> -Other_DCF!$B$32*D70</f>
        <v>0</v>
      </c>
      <c r="G70" s="124">
        <f>-F70*Other_DCF!$B$9</f>
        <v>0</v>
      </c>
      <c r="H70" s="124">
        <f>-Other_DCF!$B$28*C70</f>
        <v>0</v>
      </c>
      <c r="I70" s="98">
        <f t="shared" si="21"/>
        <v>-6.0883671848487057E-9</v>
      </c>
      <c r="J70" s="98">
        <f t="shared" si="3"/>
        <v>-6.5449947237123581E-9</v>
      </c>
      <c r="K70" s="98">
        <f>-I70*Other_DCF!$B$7</f>
        <v>4.5662753886365288E-10</v>
      </c>
      <c r="L70" s="124">
        <f>-(K70*Other_DCF!$B$9)</f>
        <v>0</v>
      </c>
      <c r="M70" s="98">
        <f t="shared" si="9"/>
        <v>0</v>
      </c>
      <c r="N70" s="98">
        <f t="shared" si="10"/>
        <v>0</v>
      </c>
      <c r="O70" s="98">
        <f t="shared" si="11"/>
        <v>0</v>
      </c>
      <c r="P70" s="98">
        <f t="shared" si="12"/>
        <v>0</v>
      </c>
      <c r="Q70" s="124">
        <f t="shared" si="13"/>
        <v>0</v>
      </c>
      <c r="R70" s="98">
        <f t="shared" si="14"/>
        <v>0</v>
      </c>
      <c r="S70" s="98">
        <f t="shared" si="15"/>
        <v>0</v>
      </c>
      <c r="T70" s="124">
        <f t="shared" si="16"/>
        <v>0</v>
      </c>
      <c r="U70" s="124">
        <f t="shared" si="17"/>
        <v>0</v>
      </c>
      <c r="V70" s="68">
        <f t="shared" si="2"/>
        <v>0</v>
      </c>
      <c r="W70" s="124">
        <f t="shared" si="4"/>
        <v>0</v>
      </c>
      <c r="X70" s="124">
        <f t="shared" si="18"/>
        <v>0</v>
      </c>
      <c r="Y70" s="124">
        <f>Baseline_DCF!U70</f>
        <v>0</v>
      </c>
      <c r="Z70" s="124">
        <f t="shared" si="19"/>
        <v>0</v>
      </c>
      <c r="AA70" s="68">
        <f t="shared" si="5"/>
        <v>0</v>
      </c>
      <c r="AB70" s="124">
        <f t="shared" si="6"/>
        <v>0</v>
      </c>
      <c r="AC70" s="124">
        <f t="shared" si="7"/>
        <v>0</v>
      </c>
    </row>
    <row r="71" spans="1:29" ht="14.4" x14ac:dyDescent="0.3">
      <c r="A71" s="35">
        <f t="shared" si="8"/>
        <v>22</v>
      </c>
      <c r="B71" s="44">
        <f>1/(1+Other_DCF!$B$8)^A71</f>
        <v>0.12284597357367227</v>
      </c>
      <c r="C71" s="36">
        <f>IF(A71&lt;(Other_DCF!$B$6+1),1,0)</f>
        <v>0</v>
      </c>
      <c r="D71" s="36">
        <f>IF(A71&lt;(Other_DCF!$B$11+1),1,0)</f>
        <v>0</v>
      </c>
      <c r="E71" s="36">
        <f>IF(A71&lt;(Other_DCF!$B$12+1),1,0)</f>
        <v>0</v>
      </c>
      <c r="F71" s="98">
        <f xml:space="preserve"> -Other_DCF!$B$32*D71</f>
        <v>0</v>
      </c>
      <c r="G71" s="124">
        <f>-F71*Other_DCF!$B$9</f>
        <v>0</v>
      </c>
      <c r="H71" s="124">
        <f>-Other_DCF!$B$28*C71</f>
        <v>0</v>
      </c>
      <c r="I71" s="98">
        <f t="shared" si="21"/>
        <v>-6.5449947237123581E-9</v>
      </c>
      <c r="J71" s="98">
        <f t="shared" si="3"/>
        <v>-7.0358693279907851E-9</v>
      </c>
      <c r="K71" s="98">
        <f>-I71*Other_DCF!$B$7</f>
        <v>4.908746042784268E-10</v>
      </c>
      <c r="L71" s="124">
        <f>-(K71*Other_DCF!$B$9)</f>
        <v>0</v>
      </c>
      <c r="M71" s="98">
        <f t="shared" si="9"/>
        <v>0</v>
      </c>
      <c r="N71" s="98">
        <f t="shared" si="10"/>
        <v>0</v>
      </c>
      <c r="O71" s="98">
        <f t="shared" si="11"/>
        <v>0</v>
      </c>
      <c r="P71" s="98">
        <f t="shared" si="12"/>
        <v>0</v>
      </c>
      <c r="Q71" s="124">
        <f t="shared" si="13"/>
        <v>0</v>
      </c>
      <c r="R71" s="98">
        <f t="shared" si="14"/>
        <v>0</v>
      </c>
      <c r="S71" s="98">
        <f t="shared" si="15"/>
        <v>0</v>
      </c>
      <c r="T71" s="124">
        <f t="shared" si="16"/>
        <v>0</v>
      </c>
      <c r="U71" s="124">
        <f t="shared" si="17"/>
        <v>0</v>
      </c>
      <c r="V71" s="68">
        <f t="shared" si="2"/>
        <v>0</v>
      </c>
      <c r="W71" s="124">
        <f t="shared" si="4"/>
        <v>0</v>
      </c>
      <c r="X71" s="124">
        <f t="shared" si="18"/>
        <v>0</v>
      </c>
      <c r="Y71" s="124">
        <f>Baseline_DCF!U71</f>
        <v>0</v>
      </c>
      <c r="Z71" s="124">
        <f t="shared" si="19"/>
        <v>0</v>
      </c>
      <c r="AA71" s="68">
        <f t="shared" si="5"/>
        <v>0</v>
      </c>
      <c r="AB71" s="124">
        <f t="shared" si="6"/>
        <v>0</v>
      </c>
      <c r="AC71" s="124">
        <f t="shared" si="7"/>
        <v>0</v>
      </c>
    </row>
    <row r="72" spans="1:29" ht="14.4" x14ac:dyDescent="0.3">
      <c r="A72" s="35">
        <f t="shared" si="8"/>
        <v>23</v>
      </c>
      <c r="B72" s="44">
        <f>1/(1+Other_DCF!$B$8)^A72</f>
        <v>0.11167815779424752</v>
      </c>
      <c r="C72" s="36">
        <f>IF(A72&lt;(Other_DCF!$B$6+1),1,0)</f>
        <v>0</v>
      </c>
      <c r="D72" s="36">
        <f>IF(A72&lt;(Other_DCF!$B$11+1),1,0)</f>
        <v>0</v>
      </c>
      <c r="E72" s="36">
        <f>IF(A72&lt;(Other_DCF!$B$12+1),1,0)</f>
        <v>0</v>
      </c>
      <c r="F72" s="98">
        <f xml:space="preserve"> -Other_DCF!$B$32*D72</f>
        <v>0</v>
      </c>
      <c r="G72" s="124">
        <f>-F72*Other_DCF!$B$9</f>
        <v>0</v>
      </c>
      <c r="H72" s="124">
        <f>-Other_DCF!$B$28*C72</f>
        <v>0</v>
      </c>
      <c r="I72" s="98">
        <f t="shared" si="21"/>
        <v>-7.0358693279907851E-9</v>
      </c>
      <c r="J72" s="98">
        <f t="shared" si="3"/>
        <v>-7.5635595275900941E-9</v>
      </c>
      <c r="K72" s="98">
        <f>-I72*Other_DCF!$B$7</f>
        <v>5.2769019959930888E-10</v>
      </c>
      <c r="L72" s="124">
        <f>-(K72*Other_DCF!$B$9)</f>
        <v>0</v>
      </c>
      <c r="M72" s="98">
        <f t="shared" si="9"/>
        <v>0</v>
      </c>
      <c r="N72" s="98">
        <f t="shared" si="10"/>
        <v>0</v>
      </c>
      <c r="O72" s="98">
        <f t="shared" si="11"/>
        <v>0</v>
      </c>
      <c r="P72" s="98">
        <f t="shared" si="12"/>
        <v>0</v>
      </c>
      <c r="Q72" s="124">
        <f t="shared" si="13"/>
        <v>0</v>
      </c>
      <c r="R72" s="98">
        <f t="shared" si="14"/>
        <v>0</v>
      </c>
      <c r="S72" s="98">
        <f t="shared" si="15"/>
        <v>0</v>
      </c>
      <c r="T72" s="124">
        <f t="shared" si="16"/>
        <v>0</v>
      </c>
      <c r="U72" s="124">
        <f t="shared" si="17"/>
        <v>0</v>
      </c>
      <c r="V72" s="68">
        <f t="shared" si="2"/>
        <v>0</v>
      </c>
      <c r="W72" s="124">
        <f t="shared" si="4"/>
        <v>0</v>
      </c>
      <c r="X72" s="124">
        <f t="shared" si="18"/>
        <v>0</v>
      </c>
      <c r="Y72" s="124">
        <f>Baseline_DCF!U72</f>
        <v>0</v>
      </c>
      <c r="Z72" s="124">
        <f t="shared" si="19"/>
        <v>0</v>
      </c>
      <c r="AA72" s="68">
        <f t="shared" si="5"/>
        <v>0</v>
      </c>
      <c r="AB72" s="124">
        <f t="shared" si="6"/>
        <v>0</v>
      </c>
      <c r="AC72" s="124">
        <f t="shared" si="7"/>
        <v>0</v>
      </c>
    </row>
    <row r="73" spans="1:29" ht="14.4" x14ac:dyDescent="0.3">
      <c r="A73" s="35">
        <f t="shared" si="8"/>
        <v>24</v>
      </c>
      <c r="B73" s="44">
        <f>1/(1+Other_DCF!$B$8)^A73</f>
        <v>0.10152559799477048</v>
      </c>
      <c r="C73" s="36">
        <f>IF(A73&lt;(Other_DCF!$B$6+1),1,0)</f>
        <v>0</v>
      </c>
      <c r="D73" s="36">
        <f>IF(A73&lt;(Other_DCF!$B$11+1),1,0)</f>
        <v>0</v>
      </c>
      <c r="E73" s="36">
        <f>IF(A73&lt;(Other_DCF!$B$12+1),1,0)</f>
        <v>0</v>
      </c>
      <c r="F73" s="98">
        <f xml:space="preserve"> -Other_DCF!$B$32*D73</f>
        <v>0</v>
      </c>
      <c r="G73" s="124">
        <f>-F73*Other_DCF!$B$9</f>
        <v>0</v>
      </c>
      <c r="H73" s="124">
        <f>-Other_DCF!$B$28*C73</f>
        <v>0</v>
      </c>
      <c r="I73" s="98">
        <f t="shared" si="21"/>
        <v>-7.5635595275900941E-9</v>
      </c>
      <c r="J73" s="98">
        <f t="shared" si="3"/>
        <v>-8.1308264921593513E-9</v>
      </c>
      <c r="K73" s="98">
        <f>-I73*Other_DCF!$B$7</f>
        <v>5.6726696456925704E-10</v>
      </c>
      <c r="L73" s="124">
        <f>-(K73*Other_DCF!$B$9)</f>
        <v>0</v>
      </c>
      <c r="M73" s="98">
        <f t="shared" si="9"/>
        <v>0</v>
      </c>
      <c r="N73" s="98">
        <f t="shared" si="10"/>
        <v>0</v>
      </c>
      <c r="O73" s="98">
        <f t="shared" si="11"/>
        <v>0</v>
      </c>
      <c r="P73" s="98">
        <f t="shared" si="12"/>
        <v>0</v>
      </c>
      <c r="Q73" s="124">
        <f t="shared" si="13"/>
        <v>0</v>
      </c>
      <c r="R73" s="98">
        <f t="shared" si="14"/>
        <v>0</v>
      </c>
      <c r="S73" s="98">
        <f t="shared" si="15"/>
        <v>0</v>
      </c>
      <c r="T73" s="124">
        <f t="shared" si="16"/>
        <v>0</v>
      </c>
      <c r="U73" s="124">
        <f t="shared" si="17"/>
        <v>0</v>
      </c>
      <c r="V73" s="68">
        <f t="shared" si="2"/>
        <v>0</v>
      </c>
      <c r="W73" s="124">
        <f t="shared" si="4"/>
        <v>0</v>
      </c>
      <c r="X73" s="124">
        <f t="shared" si="18"/>
        <v>0</v>
      </c>
      <c r="Y73" s="124">
        <f>Baseline_DCF!U73</f>
        <v>0</v>
      </c>
      <c r="Z73" s="124">
        <f t="shared" si="19"/>
        <v>0</v>
      </c>
      <c r="AA73" s="68">
        <f t="shared" si="5"/>
        <v>0</v>
      </c>
      <c r="AB73" s="124">
        <f t="shared" si="6"/>
        <v>0</v>
      </c>
      <c r="AC73" s="124">
        <f t="shared" si="7"/>
        <v>0</v>
      </c>
    </row>
    <row r="74" spans="1:29" ht="14.4" x14ac:dyDescent="0.3">
      <c r="A74" s="35">
        <f t="shared" si="8"/>
        <v>25</v>
      </c>
      <c r="B74" s="44">
        <f>1/(1+Other_DCF!$B$8)^A74</f>
        <v>9.2295998177064048E-2</v>
      </c>
      <c r="C74" s="36">
        <f>IF(A74&lt;(Other_DCF!$B$6+1),1,0)</f>
        <v>0</v>
      </c>
      <c r="D74" s="36">
        <f>IF(A74&lt;(Other_DCF!$B$11+1),1,0)</f>
        <v>0</v>
      </c>
      <c r="E74" s="36">
        <f>IF(A74&lt;(Other_DCF!$B$12+1),1,0)</f>
        <v>0</v>
      </c>
      <c r="F74" s="98">
        <f xml:space="preserve"> -Other_DCF!$B$32*D74</f>
        <v>0</v>
      </c>
      <c r="G74" s="124">
        <f>-F74*Other_DCF!$B$9</f>
        <v>0</v>
      </c>
      <c r="H74" s="124">
        <f>-Other_DCF!$B$28*C74</f>
        <v>0</v>
      </c>
      <c r="I74" s="98">
        <f t="shared" si="21"/>
        <v>-8.1308264921593513E-9</v>
      </c>
      <c r="J74" s="98">
        <f t="shared" si="3"/>
        <v>-8.7406384790713024E-9</v>
      </c>
      <c r="K74" s="98">
        <f>-I74*Other_DCF!$B$7</f>
        <v>6.098119869119513E-10</v>
      </c>
      <c r="L74" s="124">
        <f>-(K74*Other_DCF!$B$9)</f>
        <v>0</v>
      </c>
      <c r="M74" s="98">
        <f t="shared" si="9"/>
        <v>0</v>
      </c>
      <c r="N74" s="98">
        <f t="shared" si="10"/>
        <v>0</v>
      </c>
      <c r="O74" s="98">
        <f t="shared" si="11"/>
        <v>0</v>
      </c>
      <c r="P74" s="98">
        <f t="shared" si="12"/>
        <v>0</v>
      </c>
      <c r="Q74" s="124">
        <f t="shared" si="13"/>
        <v>0</v>
      </c>
      <c r="R74" s="98">
        <f t="shared" si="14"/>
        <v>0</v>
      </c>
      <c r="S74" s="98">
        <f t="shared" si="15"/>
        <v>0</v>
      </c>
      <c r="T74" s="124">
        <f t="shared" si="16"/>
        <v>0</v>
      </c>
      <c r="U74" s="124">
        <f t="shared" si="17"/>
        <v>0</v>
      </c>
      <c r="V74" s="68">
        <f t="shared" si="2"/>
        <v>0</v>
      </c>
      <c r="W74" s="124">
        <f t="shared" si="4"/>
        <v>0</v>
      </c>
      <c r="X74" s="124">
        <f t="shared" si="18"/>
        <v>0</v>
      </c>
      <c r="Y74" s="124">
        <f>Baseline_DCF!U74</f>
        <v>0</v>
      </c>
      <c r="Z74" s="124">
        <f t="shared" si="19"/>
        <v>0</v>
      </c>
      <c r="AA74" s="68">
        <f t="shared" si="5"/>
        <v>0</v>
      </c>
      <c r="AB74" s="124">
        <f t="shared" si="6"/>
        <v>0</v>
      </c>
      <c r="AC74" s="124">
        <f t="shared" si="7"/>
        <v>0</v>
      </c>
    </row>
    <row r="75" spans="1:29" ht="14.4" x14ac:dyDescent="0.3">
      <c r="A75" s="35">
        <f t="shared" si="8"/>
        <v>26</v>
      </c>
      <c r="B75" s="44">
        <f>1/(1+Other_DCF!$B$8)^A75</f>
        <v>8.3905452888240042E-2</v>
      </c>
      <c r="C75" s="36">
        <f>IF(A75&lt;(Other_DCF!$B$6+1),1,0)</f>
        <v>0</v>
      </c>
      <c r="D75" s="36">
        <f>IF(A75&lt;(Other_DCF!$B$11+1),1,0)</f>
        <v>0</v>
      </c>
      <c r="E75" s="36">
        <f>IF(A75&lt;(Other_DCF!$B$12+1),1,0)</f>
        <v>0</v>
      </c>
      <c r="F75" s="98">
        <f xml:space="preserve"> -Other_DCF!$B$32*D75</f>
        <v>0</v>
      </c>
      <c r="G75" s="124">
        <f>-F75*Other_DCF!$B$9</f>
        <v>0</v>
      </c>
      <c r="H75" s="124">
        <f>-Other_DCF!$B$28*C75</f>
        <v>0</v>
      </c>
      <c r="I75" s="98">
        <f t="shared" si="21"/>
        <v>-8.7406384790713024E-9</v>
      </c>
      <c r="J75" s="98">
        <f t="shared" si="3"/>
        <v>-9.3961863650016509E-9</v>
      </c>
      <c r="K75" s="98">
        <f>-I75*Other_DCF!$B$7</f>
        <v>6.5554788593034768E-10</v>
      </c>
      <c r="L75" s="124">
        <f>-(K75*Other_DCF!$B$9)</f>
        <v>0</v>
      </c>
      <c r="M75" s="98">
        <f t="shared" si="9"/>
        <v>0</v>
      </c>
      <c r="N75" s="98">
        <f t="shared" si="10"/>
        <v>0</v>
      </c>
      <c r="O75" s="98">
        <f t="shared" si="11"/>
        <v>0</v>
      </c>
      <c r="P75" s="98">
        <f t="shared" si="12"/>
        <v>0</v>
      </c>
      <c r="Q75" s="124">
        <f t="shared" si="13"/>
        <v>0</v>
      </c>
      <c r="R75" s="98">
        <f t="shared" si="14"/>
        <v>0</v>
      </c>
      <c r="S75" s="98">
        <f t="shared" si="15"/>
        <v>0</v>
      </c>
      <c r="T75" s="124">
        <f t="shared" si="16"/>
        <v>0</v>
      </c>
      <c r="U75" s="124">
        <f t="shared" si="17"/>
        <v>0</v>
      </c>
      <c r="V75" s="68">
        <f t="shared" si="2"/>
        <v>0</v>
      </c>
      <c r="W75" s="124">
        <f t="shared" si="4"/>
        <v>0</v>
      </c>
      <c r="X75" s="124">
        <f t="shared" si="18"/>
        <v>0</v>
      </c>
      <c r="Y75" s="124">
        <f>Baseline_DCF!U75</f>
        <v>0</v>
      </c>
      <c r="Z75" s="124">
        <f t="shared" si="19"/>
        <v>0</v>
      </c>
      <c r="AA75" s="68">
        <f t="shared" si="5"/>
        <v>0</v>
      </c>
      <c r="AB75" s="124">
        <f t="shared" si="6"/>
        <v>0</v>
      </c>
      <c r="AC75" s="124">
        <f t="shared" si="7"/>
        <v>0</v>
      </c>
    </row>
    <row r="76" spans="1:29" ht="14.4" x14ac:dyDescent="0.3">
      <c r="A76" s="35">
        <f t="shared" si="8"/>
        <v>27</v>
      </c>
      <c r="B76" s="44">
        <f>1/(1+Other_DCF!$B$8)^A76</f>
        <v>7.6277684443854576E-2</v>
      </c>
      <c r="C76" s="36">
        <f>IF(A76&lt;(Other_DCF!$B$6+1),1,0)</f>
        <v>0</v>
      </c>
      <c r="D76" s="36">
        <f>IF(A76&lt;(Other_DCF!$B$11+1),1,0)</f>
        <v>0</v>
      </c>
      <c r="E76" s="36">
        <f>IF(A76&lt;(Other_DCF!$B$12+1),1,0)</f>
        <v>0</v>
      </c>
      <c r="F76" s="98">
        <f xml:space="preserve"> -Other_DCF!$B$32*D76</f>
        <v>0</v>
      </c>
      <c r="G76" s="124">
        <f>-F76*Other_DCF!$B$9</f>
        <v>0</v>
      </c>
      <c r="H76" s="124">
        <f>-Other_DCF!$B$28*C76</f>
        <v>0</v>
      </c>
      <c r="I76" s="98">
        <f t="shared" si="21"/>
        <v>-9.3961863650016509E-9</v>
      </c>
      <c r="J76" s="98">
        <f t="shared" si="3"/>
        <v>-1.0100900342376774E-8</v>
      </c>
      <c r="K76" s="98">
        <f>-I76*Other_DCF!$B$7</f>
        <v>7.0471397737512377E-10</v>
      </c>
      <c r="L76" s="124">
        <f>-(K76*Other_DCF!$B$9)</f>
        <v>0</v>
      </c>
      <c r="M76" s="98">
        <f t="shared" si="9"/>
        <v>0</v>
      </c>
      <c r="N76" s="98">
        <f t="shared" si="10"/>
        <v>0</v>
      </c>
      <c r="O76" s="98">
        <f t="shared" si="11"/>
        <v>0</v>
      </c>
      <c r="P76" s="98">
        <f t="shared" si="12"/>
        <v>0</v>
      </c>
      <c r="Q76" s="124">
        <f t="shared" si="13"/>
        <v>0</v>
      </c>
      <c r="R76" s="98">
        <f t="shared" si="14"/>
        <v>0</v>
      </c>
      <c r="S76" s="98">
        <f t="shared" si="15"/>
        <v>0</v>
      </c>
      <c r="T76" s="124">
        <f t="shared" si="16"/>
        <v>0</v>
      </c>
      <c r="U76" s="124">
        <f t="shared" si="17"/>
        <v>0</v>
      </c>
      <c r="V76" s="68">
        <f t="shared" si="2"/>
        <v>0</v>
      </c>
      <c r="W76" s="124">
        <f t="shared" si="4"/>
        <v>0</v>
      </c>
      <c r="X76" s="124">
        <f t="shared" si="18"/>
        <v>0</v>
      </c>
      <c r="Y76" s="124">
        <f>Baseline_DCF!U76</f>
        <v>0</v>
      </c>
      <c r="Z76" s="124">
        <f t="shared" si="19"/>
        <v>0</v>
      </c>
      <c r="AA76" s="68">
        <f t="shared" si="5"/>
        <v>0</v>
      </c>
      <c r="AB76" s="124">
        <f t="shared" si="6"/>
        <v>0</v>
      </c>
      <c r="AC76" s="124">
        <f t="shared" si="7"/>
        <v>0</v>
      </c>
    </row>
    <row r="77" spans="1:29" ht="14.4" x14ac:dyDescent="0.3">
      <c r="A77" s="35">
        <f t="shared" si="8"/>
        <v>28</v>
      </c>
      <c r="B77" s="44">
        <f>1/(1+Other_DCF!$B$8)^A77</f>
        <v>6.9343349494413245E-2</v>
      </c>
      <c r="C77" s="36">
        <f>IF(A77&lt;(Other_DCF!$B$6+1),1,0)</f>
        <v>0</v>
      </c>
      <c r="D77" s="36">
        <f>IF(A77&lt;(Other_DCF!$B$11+1),1,0)</f>
        <v>0</v>
      </c>
      <c r="E77" s="36">
        <f>IF(A77&lt;(Other_DCF!$B$12+1),1,0)</f>
        <v>0</v>
      </c>
      <c r="F77" s="98">
        <f xml:space="preserve"> -Other_DCF!$B$32*D77</f>
        <v>0</v>
      </c>
      <c r="G77" s="124">
        <f>-F77*Other_DCF!$B$9</f>
        <v>0</v>
      </c>
      <c r="H77" s="124">
        <f>-Other_DCF!$B$28*C77</f>
        <v>0</v>
      </c>
      <c r="I77" s="98">
        <f t="shared" si="21"/>
        <v>-1.0100900342376774E-8</v>
      </c>
      <c r="J77" s="98">
        <f t="shared" si="3"/>
        <v>-1.0858467868055031E-8</v>
      </c>
      <c r="K77" s="98">
        <f>-I77*Other_DCF!$B$7</f>
        <v>7.5756752567825805E-10</v>
      </c>
      <c r="L77" s="124">
        <f>-(K77*Other_DCF!$B$9)</f>
        <v>0</v>
      </c>
      <c r="M77" s="98">
        <f t="shared" si="9"/>
        <v>0</v>
      </c>
      <c r="N77" s="98">
        <f t="shared" si="10"/>
        <v>0</v>
      </c>
      <c r="O77" s="98">
        <f t="shared" si="11"/>
        <v>0</v>
      </c>
      <c r="P77" s="98">
        <f t="shared" si="12"/>
        <v>0</v>
      </c>
      <c r="Q77" s="124">
        <f t="shared" si="13"/>
        <v>0</v>
      </c>
      <c r="R77" s="98">
        <f t="shared" si="14"/>
        <v>0</v>
      </c>
      <c r="S77" s="98">
        <f t="shared" si="15"/>
        <v>0</v>
      </c>
      <c r="T77" s="124">
        <f t="shared" si="16"/>
        <v>0</v>
      </c>
      <c r="U77" s="124">
        <f t="shared" si="17"/>
        <v>0</v>
      </c>
      <c r="V77" s="68">
        <f t="shared" si="2"/>
        <v>0</v>
      </c>
      <c r="W77" s="124">
        <f t="shared" si="4"/>
        <v>0</v>
      </c>
      <c r="X77" s="124">
        <f t="shared" si="18"/>
        <v>0</v>
      </c>
      <c r="Y77" s="124">
        <f>Baseline_DCF!U77</f>
        <v>0</v>
      </c>
      <c r="Z77" s="124">
        <f t="shared" si="19"/>
        <v>0</v>
      </c>
      <c r="AA77" s="68">
        <f t="shared" si="5"/>
        <v>0</v>
      </c>
      <c r="AB77" s="124">
        <f t="shared" si="6"/>
        <v>0</v>
      </c>
      <c r="AC77" s="124">
        <f t="shared" si="7"/>
        <v>0</v>
      </c>
    </row>
    <row r="78" spans="1:29" ht="14.4" x14ac:dyDescent="0.3">
      <c r="A78" s="35">
        <f t="shared" si="8"/>
        <v>29</v>
      </c>
      <c r="B78" s="44">
        <f>1/(1+Other_DCF!$B$8)^A78</f>
        <v>6.3039408631284766E-2</v>
      </c>
      <c r="C78" s="36">
        <f>IF(A78&lt;(Other_DCF!$B$6+1),1,0)</f>
        <v>0</v>
      </c>
      <c r="D78" s="36">
        <f>IF(A78&lt;(Other_DCF!$B$11+1),1,0)</f>
        <v>0</v>
      </c>
      <c r="E78" s="36">
        <f>IF(A78&lt;(Other_DCF!$B$12+1),1,0)</f>
        <v>0</v>
      </c>
      <c r="F78" s="98">
        <f xml:space="preserve"> -Other_DCF!$B$32*D78</f>
        <v>0</v>
      </c>
      <c r="G78" s="124">
        <f>-F78*Other_DCF!$B$9</f>
        <v>0</v>
      </c>
      <c r="H78" s="124">
        <f>-Other_DCF!$B$28*C78</f>
        <v>0</v>
      </c>
      <c r="I78" s="98">
        <f t="shared" si="21"/>
        <v>-1.0858467868055031E-8</v>
      </c>
      <c r="J78" s="98">
        <f t="shared" si="3"/>
        <v>-1.1672852958159159E-8</v>
      </c>
      <c r="K78" s="98">
        <f>-I78*Other_DCF!$B$7</f>
        <v>8.1438509010412732E-10</v>
      </c>
      <c r="L78" s="124">
        <f>-(K78*Other_DCF!$B$9)</f>
        <v>0</v>
      </c>
      <c r="M78" s="98">
        <f t="shared" si="9"/>
        <v>0</v>
      </c>
      <c r="N78" s="98">
        <f t="shared" si="10"/>
        <v>0</v>
      </c>
      <c r="O78" s="98">
        <f t="shared" si="11"/>
        <v>0</v>
      </c>
      <c r="P78" s="98">
        <f t="shared" si="12"/>
        <v>0</v>
      </c>
      <c r="Q78" s="124">
        <f t="shared" si="13"/>
        <v>0</v>
      </c>
      <c r="R78" s="98">
        <f t="shared" si="14"/>
        <v>0</v>
      </c>
      <c r="S78" s="98">
        <f t="shared" si="15"/>
        <v>0</v>
      </c>
      <c r="T78" s="124">
        <f t="shared" si="16"/>
        <v>0</v>
      </c>
      <c r="U78" s="124">
        <f t="shared" si="17"/>
        <v>0</v>
      </c>
      <c r="V78" s="68">
        <f t="shared" si="2"/>
        <v>0</v>
      </c>
      <c r="W78" s="124">
        <f t="shared" si="4"/>
        <v>0</v>
      </c>
      <c r="X78" s="124">
        <f t="shared" si="18"/>
        <v>0</v>
      </c>
      <c r="Y78" s="124">
        <f>Baseline_DCF!U78</f>
        <v>0</v>
      </c>
      <c r="Z78" s="124">
        <f t="shared" si="19"/>
        <v>0</v>
      </c>
      <c r="AA78" s="68">
        <f t="shared" si="5"/>
        <v>0</v>
      </c>
      <c r="AB78" s="124">
        <f t="shared" si="6"/>
        <v>0</v>
      </c>
      <c r="AC78" s="124">
        <f t="shared" si="7"/>
        <v>0</v>
      </c>
    </row>
    <row r="79" spans="1:29" ht="14.4" x14ac:dyDescent="0.3">
      <c r="A79" s="35">
        <f t="shared" si="8"/>
        <v>30</v>
      </c>
      <c r="B79" s="44">
        <f>1/(1+Other_DCF!$B$8)^A79</f>
        <v>5.7308553301167964E-2</v>
      </c>
      <c r="C79" s="36">
        <f>IF(A79&lt;(Other_DCF!$B$6+1),1,0)</f>
        <v>0</v>
      </c>
      <c r="D79" s="36">
        <f>IF(A79&lt;(Other_DCF!$B$11+1),1,0)</f>
        <v>0</v>
      </c>
      <c r="E79" s="36">
        <f>IF(A79&lt;(Other_DCF!$B$12+1),1,0)</f>
        <v>0</v>
      </c>
      <c r="F79" s="98">
        <f xml:space="preserve"> -Other_DCF!$B$32*D79</f>
        <v>0</v>
      </c>
      <c r="G79" s="124">
        <f>-F79*Other_DCF!$B$9</f>
        <v>0</v>
      </c>
      <c r="H79" s="124">
        <f>-Other_DCF!$B$28*C79</f>
        <v>0</v>
      </c>
      <c r="I79" s="98">
        <f t="shared" si="21"/>
        <v>-1.1672852958159159E-8</v>
      </c>
      <c r="J79" s="98">
        <f t="shared" si="3"/>
        <v>-1.2548316930021095E-8</v>
      </c>
      <c r="K79" s="98">
        <f>-I79*Other_DCF!$B$7</f>
        <v>8.7546397186193692E-10</v>
      </c>
      <c r="L79" s="124">
        <f>-(K79*Other_DCF!$B$9)</f>
        <v>0</v>
      </c>
      <c r="M79" s="98">
        <f t="shared" si="9"/>
        <v>0</v>
      </c>
      <c r="N79" s="98">
        <f t="shared" si="10"/>
        <v>0</v>
      </c>
      <c r="O79" s="98">
        <f t="shared" si="11"/>
        <v>0</v>
      </c>
      <c r="P79" s="98">
        <f t="shared" si="12"/>
        <v>0</v>
      </c>
      <c r="Q79" s="124">
        <f t="shared" si="13"/>
        <v>0</v>
      </c>
      <c r="R79" s="98">
        <f t="shared" si="14"/>
        <v>0</v>
      </c>
      <c r="S79" s="98">
        <f t="shared" si="15"/>
        <v>0</v>
      </c>
      <c r="T79" s="124">
        <f t="shared" si="16"/>
        <v>0</v>
      </c>
      <c r="U79" s="124">
        <f t="shared" si="17"/>
        <v>0</v>
      </c>
      <c r="V79" s="68">
        <f t="shared" si="2"/>
        <v>0</v>
      </c>
      <c r="W79" s="124">
        <f t="shared" si="4"/>
        <v>0</v>
      </c>
      <c r="X79" s="124">
        <f t="shared" si="18"/>
        <v>0</v>
      </c>
      <c r="Y79" s="124">
        <f>Baseline_DCF!U79</f>
        <v>0</v>
      </c>
      <c r="Z79" s="124">
        <f t="shared" si="19"/>
        <v>0</v>
      </c>
      <c r="AA79" s="68">
        <f t="shared" si="5"/>
        <v>0</v>
      </c>
      <c r="AB79" s="124">
        <f t="shared" si="6"/>
        <v>0</v>
      </c>
      <c r="AC79" s="124">
        <f t="shared" si="7"/>
        <v>0</v>
      </c>
    </row>
    <row r="80" spans="1:29" ht="14.4" x14ac:dyDescent="0.3">
      <c r="A80" s="35">
        <f t="shared" si="8"/>
        <v>31</v>
      </c>
      <c r="B80" s="44">
        <f>1/(1+Other_DCF!$B$8)^A80</f>
        <v>5.2098684819243603E-2</v>
      </c>
      <c r="C80" s="36">
        <f>IF(A80&lt;(Other_DCF!$B$6+1),1,0)</f>
        <v>0</v>
      </c>
      <c r="D80" s="36">
        <f>IF(A80&lt;(Other_DCF!$B$11+1),1,0)</f>
        <v>0</v>
      </c>
      <c r="E80" s="36">
        <f>IF(A80&lt;(Other_DCF!$B$12+1),1,0)</f>
        <v>0</v>
      </c>
      <c r="F80" s="98">
        <f xml:space="preserve"> -Other_DCF!$B$32*D80</f>
        <v>0</v>
      </c>
      <c r="G80" s="124">
        <f>-F80*Other_DCF!$B$9</f>
        <v>0</v>
      </c>
      <c r="H80" s="124">
        <f>-Other_DCF!$B$28*C80</f>
        <v>0</v>
      </c>
      <c r="I80" s="98">
        <f t="shared" si="21"/>
        <v>-1.2548316930021095E-8</v>
      </c>
      <c r="J80" s="98">
        <f t="shared" si="3"/>
        <v>-1.3489440699772677E-8</v>
      </c>
      <c r="K80" s="98">
        <f>-I80*Other_DCF!$B$7</f>
        <v>9.4112376975158215E-10</v>
      </c>
      <c r="L80" s="124">
        <f>-(K80*Other_DCF!$B$9)</f>
        <v>0</v>
      </c>
      <c r="M80" s="98">
        <f t="shared" si="9"/>
        <v>0</v>
      </c>
      <c r="N80" s="98">
        <f t="shared" si="10"/>
        <v>0</v>
      </c>
      <c r="O80" s="98">
        <f t="shared" si="11"/>
        <v>0</v>
      </c>
      <c r="P80" s="98">
        <f t="shared" si="12"/>
        <v>0</v>
      </c>
      <c r="Q80" s="124">
        <f t="shared" si="13"/>
        <v>0</v>
      </c>
      <c r="R80" s="98">
        <f t="shared" si="14"/>
        <v>0</v>
      </c>
      <c r="S80" s="98">
        <f t="shared" si="15"/>
        <v>0</v>
      </c>
      <c r="T80" s="124">
        <f t="shared" si="16"/>
        <v>0</v>
      </c>
      <c r="U80" s="124">
        <f t="shared" si="17"/>
        <v>0</v>
      </c>
      <c r="V80" s="68">
        <f t="shared" si="2"/>
        <v>0</v>
      </c>
      <c r="W80" s="124">
        <f t="shared" si="4"/>
        <v>0</v>
      </c>
      <c r="X80" s="124">
        <f t="shared" si="18"/>
        <v>0</v>
      </c>
      <c r="Y80" s="124">
        <f>Baseline_DCF!U80</f>
        <v>0</v>
      </c>
      <c r="Z80" s="124">
        <f t="shared" si="19"/>
        <v>0</v>
      </c>
      <c r="AA80" s="68">
        <f t="shared" si="5"/>
        <v>0</v>
      </c>
      <c r="AB80" s="124">
        <f t="shared" si="6"/>
        <v>0</v>
      </c>
      <c r="AC80" s="124">
        <f t="shared" si="7"/>
        <v>0</v>
      </c>
    </row>
    <row r="81" spans="1:29" ht="14.4" x14ac:dyDescent="0.3">
      <c r="A81" s="35">
        <f t="shared" si="8"/>
        <v>32</v>
      </c>
      <c r="B81" s="44">
        <f>1/(1+Other_DCF!$B$8)^A81</f>
        <v>4.7362440744766907E-2</v>
      </c>
      <c r="C81" s="36">
        <f>IF(A81&lt;(Other_DCF!$B$6+1),1,0)</f>
        <v>0</v>
      </c>
      <c r="D81" s="36">
        <f>IF(A81&lt;(Other_DCF!$B$11+1),1,0)</f>
        <v>0</v>
      </c>
      <c r="E81" s="36">
        <f>IF(A81&lt;(Other_DCF!$B$12+1),1,0)</f>
        <v>0</v>
      </c>
      <c r="F81" s="98">
        <f xml:space="preserve"> -Other_DCF!$B$32*D81</f>
        <v>0</v>
      </c>
      <c r="G81" s="124">
        <f>-F81*Other_DCF!$B$9</f>
        <v>0</v>
      </c>
      <c r="H81" s="124">
        <f>-Other_DCF!$B$28*C81</f>
        <v>0</v>
      </c>
      <c r="I81" s="98">
        <f t="shared" si="21"/>
        <v>-1.3489440699772677E-8</v>
      </c>
      <c r="J81" s="98">
        <f t="shared" si="3"/>
        <v>-1.4501148752255628E-8</v>
      </c>
      <c r="K81" s="98">
        <f>-I81*Other_DCF!$B$7</f>
        <v>1.0117080524829507E-9</v>
      </c>
      <c r="L81" s="124">
        <f>-(K81*Other_DCF!$B$9)</f>
        <v>0</v>
      </c>
      <c r="M81" s="98">
        <f t="shared" si="9"/>
        <v>0</v>
      </c>
      <c r="N81" s="98">
        <f t="shared" si="10"/>
        <v>0</v>
      </c>
      <c r="O81" s="98">
        <f t="shared" si="11"/>
        <v>0</v>
      </c>
      <c r="P81" s="98">
        <f t="shared" si="12"/>
        <v>0</v>
      </c>
      <c r="Q81" s="124">
        <f t="shared" si="13"/>
        <v>0</v>
      </c>
      <c r="R81" s="98">
        <f t="shared" si="14"/>
        <v>0</v>
      </c>
      <c r="S81" s="98">
        <f t="shared" si="15"/>
        <v>0</v>
      </c>
      <c r="T81" s="124">
        <f t="shared" si="16"/>
        <v>0</v>
      </c>
      <c r="U81" s="124">
        <f t="shared" si="17"/>
        <v>0</v>
      </c>
      <c r="V81" s="68">
        <f t="shared" si="2"/>
        <v>0</v>
      </c>
      <c r="W81" s="124">
        <f t="shared" si="4"/>
        <v>0</v>
      </c>
      <c r="X81" s="124">
        <f t="shared" si="18"/>
        <v>0</v>
      </c>
      <c r="Y81" s="124">
        <f>Baseline_DCF!U81</f>
        <v>0</v>
      </c>
      <c r="Z81" s="124">
        <f t="shared" si="19"/>
        <v>0</v>
      </c>
      <c r="AA81" s="68">
        <f t="shared" si="5"/>
        <v>0</v>
      </c>
      <c r="AB81" s="124">
        <f t="shared" si="6"/>
        <v>0</v>
      </c>
      <c r="AC81" s="124">
        <f t="shared" si="7"/>
        <v>0</v>
      </c>
    </row>
    <row r="82" spans="1:29" ht="14.4" x14ac:dyDescent="0.3">
      <c r="A82" s="35">
        <f t="shared" si="8"/>
        <v>33</v>
      </c>
      <c r="B82" s="44">
        <f>1/(1+Other_DCF!$B$8)^A82</f>
        <v>4.3056764313424457E-2</v>
      </c>
      <c r="C82" s="36">
        <f>IF(A82&lt;(Other_DCF!$B$6+1),1,0)</f>
        <v>0</v>
      </c>
      <c r="D82" s="36">
        <f>IF(A82&lt;(Other_DCF!$B$11+1),1,0)</f>
        <v>0</v>
      </c>
      <c r="E82" s="36">
        <f>IF(A82&lt;(Other_DCF!$B$12+1),1,0)</f>
        <v>0</v>
      </c>
      <c r="F82" s="98">
        <f xml:space="preserve"> -Other_DCF!$B$32*D82</f>
        <v>0</v>
      </c>
      <c r="G82" s="124">
        <f>-F82*Other_DCF!$B$9</f>
        <v>0</v>
      </c>
      <c r="H82" s="124">
        <f>-Other_DCF!$B$28*C82</f>
        <v>0</v>
      </c>
      <c r="I82" s="98">
        <f t="shared" si="21"/>
        <v>-1.4501148752255628E-8</v>
      </c>
      <c r="J82" s="98">
        <f t="shared" si="3"/>
        <v>-1.55887349086748E-8</v>
      </c>
      <c r="K82" s="98">
        <f>-I82*Other_DCF!$B$7</f>
        <v>1.087586156419172E-9</v>
      </c>
      <c r="L82" s="124">
        <f>-(K82*Other_DCF!$B$9)</f>
        <v>0</v>
      </c>
      <c r="M82" s="98">
        <f t="shared" si="9"/>
        <v>0</v>
      </c>
      <c r="N82" s="98">
        <f t="shared" si="10"/>
        <v>0</v>
      </c>
      <c r="O82" s="98">
        <f t="shared" si="11"/>
        <v>0</v>
      </c>
      <c r="P82" s="98">
        <f t="shared" si="12"/>
        <v>0</v>
      </c>
      <c r="Q82" s="124">
        <f t="shared" si="13"/>
        <v>0</v>
      </c>
      <c r="R82" s="98">
        <f t="shared" si="14"/>
        <v>0</v>
      </c>
      <c r="S82" s="98">
        <f t="shared" si="15"/>
        <v>0</v>
      </c>
      <c r="T82" s="124">
        <f t="shared" si="16"/>
        <v>0</v>
      </c>
      <c r="U82" s="124">
        <f t="shared" si="17"/>
        <v>0</v>
      </c>
      <c r="V82" s="68">
        <f t="shared" si="2"/>
        <v>0</v>
      </c>
      <c r="W82" s="124">
        <f t="shared" si="4"/>
        <v>0</v>
      </c>
      <c r="X82" s="124">
        <f t="shared" si="18"/>
        <v>0</v>
      </c>
      <c r="Y82" s="124">
        <f>Baseline_DCF!U82</f>
        <v>0</v>
      </c>
      <c r="Z82" s="124">
        <f t="shared" si="19"/>
        <v>0</v>
      </c>
      <c r="AA82" s="68">
        <f t="shared" si="5"/>
        <v>0</v>
      </c>
      <c r="AB82" s="124">
        <f t="shared" si="6"/>
        <v>0</v>
      </c>
      <c r="AC82" s="124">
        <f t="shared" si="7"/>
        <v>0</v>
      </c>
    </row>
    <row r="83" spans="1:29" ht="14.4" x14ac:dyDescent="0.3">
      <c r="A83" s="35">
        <f t="shared" si="8"/>
        <v>34</v>
      </c>
      <c r="B83" s="44">
        <f>1/(1+Other_DCF!$B$8)^A83</f>
        <v>3.9142513012204054E-2</v>
      </c>
      <c r="C83" s="36">
        <f>IF(A83&lt;(Other_DCF!$B$6+1),1,0)</f>
        <v>0</v>
      </c>
      <c r="D83" s="36">
        <f>IF(A83&lt;(Other_DCF!$B$11+1),1,0)</f>
        <v>0</v>
      </c>
      <c r="E83" s="36">
        <f>IF(A83&lt;(Other_DCF!$B$12+1),1,0)</f>
        <v>0</v>
      </c>
      <c r="F83" s="98">
        <f xml:space="preserve"> -Other_DCF!$B$32*D83</f>
        <v>0</v>
      </c>
      <c r="G83" s="124">
        <f>-F83*Other_DCF!$B$9</f>
        <v>0</v>
      </c>
      <c r="H83" s="124">
        <f>-Other_DCF!$B$28*C83</f>
        <v>0</v>
      </c>
      <c r="I83" s="98">
        <f t="shared" si="21"/>
        <v>-1.55887349086748E-8</v>
      </c>
      <c r="J83" s="98">
        <f t="shared" si="3"/>
        <v>-1.6757890026825409E-8</v>
      </c>
      <c r="K83" s="98">
        <f>-I83*Other_DCF!$B$7</f>
        <v>1.16915511815061E-9</v>
      </c>
      <c r="L83" s="124">
        <f>-(K83*Other_DCF!$B$9)</f>
        <v>0</v>
      </c>
      <c r="M83" s="98">
        <f t="shared" si="9"/>
        <v>0</v>
      </c>
      <c r="N83" s="98">
        <f t="shared" si="10"/>
        <v>0</v>
      </c>
      <c r="O83" s="98">
        <f t="shared" si="11"/>
        <v>0</v>
      </c>
      <c r="P83" s="98">
        <f t="shared" si="12"/>
        <v>0</v>
      </c>
      <c r="Q83" s="124">
        <f t="shared" si="13"/>
        <v>0</v>
      </c>
      <c r="R83" s="98">
        <f t="shared" si="14"/>
        <v>0</v>
      </c>
      <c r="S83" s="98">
        <f t="shared" si="15"/>
        <v>0</v>
      </c>
      <c r="T83" s="124">
        <f t="shared" si="16"/>
        <v>0</v>
      </c>
      <c r="U83" s="124">
        <f t="shared" si="17"/>
        <v>0</v>
      </c>
      <c r="V83" s="68">
        <f t="shared" si="2"/>
        <v>0</v>
      </c>
      <c r="W83" s="124">
        <f t="shared" si="4"/>
        <v>0</v>
      </c>
      <c r="X83" s="124">
        <f t="shared" si="18"/>
        <v>0</v>
      </c>
      <c r="Y83" s="124">
        <f>Baseline_DCF!U83</f>
        <v>0</v>
      </c>
      <c r="Z83" s="124">
        <f t="shared" si="19"/>
        <v>0</v>
      </c>
      <c r="AA83" s="68">
        <f t="shared" si="5"/>
        <v>0</v>
      </c>
      <c r="AB83" s="124">
        <f t="shared" si="6"/>
        <v>0</v>
      </c>
      <c r="AC83" s="124">
        <f t="shared" si="7"/>
        <v>0</v>
      </c>
    </row>
    <row r="84" spans="1:29" ht="14.4" x14ac:dyDescent="0.3">
      <c r="A84" s="35">
        <f t="shared" si="8"/>
        <v>35</v>
      </c>
      <c r="B84" s="44">
        <f>1/(1+Other_DCF!$B$8)^A84</f>
        <v>3.5584102738367311E-2</v>
      </c>
      <c r="C84" s="36">
        <f>IF(A84&lt;(Other_DCF!$B$6+1),1,0)</f>
        <v>0</v>
      </c>
      <c r="D84" s="36">
        <f>IF(A84&lt;(Other_DCF!$B$11+1),1,0)</f>
        <v>0</v>
      </c>
      <c r="E84" s="36">
        <f>IF(A84&lt;(Other_DCF!$B$12+1),1,0)</f>
        <v>0</v>
      </c>
      <c r="F84" s="98">
        <f xml:space="preserve"> -Other_DCF!$B$32*D84</f>
        <v>0</v>
      </c>
      <c r="G84" s="124">
        <f>-F84*Other_DCF!$B$9</f>
        <v>0</v>
      </c>
      <c r="H84" s="124">
        <f>-Other_DCF!$B$28*C84</f>
        <v>0</v>
      </c>
      <c r="I84" s="98">
        <f t="shared" si="21"/>
        <v>-1.6757890026825409E-8</v>
      </c>
      <c r="J84" s="98">
        <f t="shared" si="3"/>
        <v>-1.8014731778837315E-8</v>
      </c>
      <c r="K84" s="98">
        <f>-I84*Other_DCF!$B$7</f>
        <v>1.2568417520119056E-9</v>
      </c>
      <c r="L84" s="124">
        <f>-(K84*Other_DCF!$B$9)</f>
        <v>0</v>
      </c>
      <c r="M84" s="98">
        <f t="shared" si="9"/>
        <v>0</v>
      </c>
      <c r="N84" s="98">
        <f t="shared" si="10"/>
        <v>0</v>
      </c>
      <c r="O84" s="98">
        <f t="shared" si="11"/>
        <v>0</v>
      </c>
      <c r="P84" s="98">
        <f t="shared" si="12"/>
        <v>0</v>
      </c>
      <c r="Q84" s="124">
        <f t="shared" si="13"/>
        <v>0</v>
      </c>
      <c r="R84" s="98">
        <f t="shared" si="14"/>
        <v>0</v>
      </c>
      <c r="S84" s="98">
        <f t="shared" si="15"/>
        <v>0</v>
      </c>
      <c r="T84" s="124">
        <f t="shared" si="16"/>
        <v>0</v>
      </c>
      <c r="U84" s="124">
        <f t="shared" si="17"/>
        <v>0</v>
      </c>
      <c r="V84" s="68">
        <f t="shared" si="2"/>
        <v>0</v>
      </c>
      <c r="W84" s="124">
        <f t="shared" si="4"/>
        <v>0</v>
      </c>
      <c r="X84" s="124">
        <f t="shared" si="18"/>
        <v>0</v>
      </c>
      <c r="Y84" s="124">
        <f>Baseline_DCF!U84</f>
        <v>0</v>
      </c>
      <c r="Z84" s="124">
        <f t="shared" si="19"/>
        <v>0</v>
      </c>
      <c r="AA84" s="68">
        <f t="shared" si="5"/>
        <v>0</v>
      </c>
      <c r="AB84" s="124">
        <f t="shared" si="6"/>
        <v>0</v>
      </c>
      <c r="AC84" s="124">
        <f t="shared" si="7"/>
        <v>0</v>
      </c>
    </row>
    <row r="85" spans="1:29" ht="14.4" x14ac:dyDescent="0.3">
      <c r="A85" s="35">
        <f t="shared" si="8"/>
        <v>36</v>
      </c>
      <c r="B85" s="44">
        <f>1/(1+Other_DCF!$B$8)^A85</f>
        <v>3.2349184307606652E-2</v>
      </c>
      <c r="C85" s="36">
        <f>IF(A85&lt;(Other_DCF!$B$6+1),1,0)</f>
        <v>0</v>
      </c>
      <c r="D85" s="36">
        <f>IF(A85&lt;(Other_DCF!$B$11+1),1,0)</f>
        <v>0</v>
      </c>
      <c r="E85" s="36">
        <f>IF(A85&lt;(Other_DCF!$B$12+1),1,0)</f>
        <v>0</v>
      </c>
      <c r="F85" s="98">
        <f xml:space="preserve"> -Other_DCF!$B$32*D85</f>
        <v>0</v>
      </c>
      <c r="G85" s="124">
        <f>-F85*Other_DCF!$B$9</f>
        <v>0</v>
      </c>
      <c r="H85" s="124">
        <f>-Other_DCF!$B$28*C85</f>
        <v>0</v>
      </c>
      <c r="I85" s="98">
        <f t="shared" si="21"/>
        <v>-1.8014731778837315E-8</v>
      </c>
      <c r="J85" s="98">
        <f t="shared" si="3"/>
        <v>-1.9365836662250113E-8</v>
      </c>
      <c r="K85" s="98">
        <f>-I85*Other_DCF!$B$7</f>
        <v>1.3511048834127986E-9</v>
      </c>
      <c r="L85" s="124">
        <f>-(K85*Other_DCF!$B$9)</f>
        <v>0</v>
      </c>
      <c r="M85" s="98">
        <f t="shared" si="9"/>
        <v>0</v>
      </c>
      <c r="N85" s="98">
        <f t="shared" si="10"/>
        <v>0</v>
      </c>
      <c r="O85" s="98">
        <f t="shared" si="11"/>
        <v>0</v>
      </c>
      <c r="P85" s="98">
        <f t="shared" si="12"/>
        <v>0</v>
      </c>
      <c r="Q85" s="124">
        <f t="shared" si="13"/>
        <v>0</v>
      </c>
      <c r="R85" s="98">
        <f t="shared" si="14"/>
        <v>0</v>
      </c>
      <c r="S85" s="98">
        <f t="shared" si="15"/>
        <v>0</v>
      </c>
      <c r="T85" s="124">
        <f t="shared" si="16"/>
        <v>0</v>
      </c>
      <c r="U85" s="124">
        <f t="shared" si="17"/>
        <v>0</v>
      </c>
      <c r="V85" s="68">
        <f t="shared" si="2"/>
        <v>0</v>
      </c>
      <c r="W85" s="124">
        <f t="shared" si="4"/>
        <v>0</v>
      </c>
      <c r="X85" s="124">
        <f t="shared" si="18"/>
        <v>0</v>
      </c>
      <c r="Y85" s="124">
        <f>Baseline_DCF!U85</f>
        <v>0</v>
      </c>
      <c r="Z85" s="124">
        <f t="shared" si="19"/>
        <v>0</v>
      </c>
      <c r="AA85" s="68">
        <f t="shared" si="5"/>
        <v>0</v>
      </c>
      <c r="AB85" s="124">
        <f t="shared" si="6"/>
        <v>0</v>
      </c>
      <c r="AC85" s="124">
        <f t="shared" si="7"/>
        <v>0</v>
      </c>
    </row>
    <row r="86" spans="1:29" ht="14.4" x14ac:dyDescent="0.3">
      <c r="A86" s="35">
        <f t="shared" si="8"/>
        <v>37</v>
      </c>
      <c r="B86" s="44">
        <f>1/(1+Other_DCF!$B$8)^A86</f>
        <v>2.94083493705515E-2</v>
      </c>
      <c r="C86" s="36">
        <f>IF(A86&lt;(Other_DCF!$B$6+1),1,0)</f>
        <v>0</v>
      </c>
      <c r="D86" s="36">
        <f>IF(A86&lt;(Other_DCF!$B$11+1),1,0)</f>
        <v>0</v>
      </c>
      <c r="E86" s="36">
        <f>IF(A86&lt;(Other_DCF!$B$12+1),1,0)</f>
        <v>0</v>
      </c>
      <c r="F86" s="98">
        <f xml:space="preserve"> -Other_DCF!$B$32*D86</f>
        <v>0</v>
      </c>
      <c r="G86" s="124">
        <f>-F86*Other_DCF!$B$9</f>
        <v>0</v>
      </c>
      <c r="H86" s="124">
        <f>-Other_DCF!$B$28*C86</f>
        <v>0</v>
      </c>
      <c r="I86" s="98">
        <f t="shared" si="21"/>
        <v>-1.9365836662250113E-8</v>
      </c>
      <c r="J86" s="98">
        <f t="shared" si="3"/>
        <v>-2.0818274411918872E-8</v>
      </c>
      <c r="K86" s="98">
        <f>-I86*Other_DCF!$B$7</f>
        <v>1.4524377496687583E-9</v>
      </c>
      <c r="L86" s="124">
        <f>-(K86*Other_DCF!$B$9)</f>
        <v>0</v>
      </c>
      <c r="M86" s="98">
        <f t="shared" si="9"/>
        <v>0</v>
      </c>
      <c r="N86" s="98">
        <f t="shared" si="10"/>
        <v>0</v>
      </c>
      <c r="O86" s="98">
        <f t="shared" si="11"/>
        <v>0</v>
      </c>
      <c r="P86" s="98">
        <f t="shared" si="12"/>
        <v>0</v>
      </c>
      <c r="Q86" s="124">
        <f t="shared" si="13"/>
        <v>0</v>
      </c>
      <c r="R86" s="98">
        <f t="shared" si="14"/>
        <v>0</v>
      </c>
      <c r="S86" s="98">
        <f t="shared" si="15"/>
        <v>0</v>
      </c>
      <c r="T86" s="124">
        <f t="shared" si="16"/>
        <v>0</v>
      </c>
      <c r="U86" s="124">
        <f t="shared" si="17"/>
        <v>0</v>
      </c>
      <c r="V86" s="68">
        <f t="shared" si="2"/>
        <v>0</v>
      </c>
      <c r="W86" s="124">
        <f t="shared" si="4"/>
        <v>0</v>
      </c>
      <c r="X86" s="124">
        <f t="shared" si="18"/>
        <v>0</v>
      </c>
      <c r="Y86" s="124">
        <f>Baseline_DCF!U86</f>
        <v>0</v>
      </c>
      <c r="Z86" s="124">
        <f t="shared" si="19"/>
        <v>0</v>
      </c>
      <c r="AA86" s="68">
        <f t="shared" si="5"/>
        <v>0</v>
      </c>
      <c r="AB86" s="124">
        <f t="shared" si="6"/>
        <v>0</v>
      </c>
      <c r="AC86" s="124">
        <f t="shared" si="7"/>
        <v>0</v>
      </c>
    </row>
    <row r="87" spans="1:29" ht="14.4" x14ac:dyDescent="0.3">
      <c r="A87" s="35">
        <f t="shared" si="8"/>
        <v>38</v>
      </c>
      <c r="B87" s="44">
        <f>1/(1+Other_DCF!$B$8)^A87</f>
        <v>2.6734863064137721E-2</v>
      </c>
      <c r="C87" s="36">
        <f>IF(A87&lt;(Other_DCF!$B$6+1),1,0)</f>
        <v>0</v>
      </c>
      <c r="D87" s="36">
        <f>IF(A87&lt;(Other_DCF!$B$11+1),1,0)</f>
        <v>0</v>
      </c>
      <c r="E87" s="36">
        <f>IF(A87&lt;(Other_DCF!$B$12+1),1,0)</f>
        <v>0</v>
      </c>
      <c r="F87" s="98">
        <f xml:space="preserve"> -Other_DCF!$B$32*D87</f>
        <v>0</v>
      </c>
      <c r="G87" s="124">
        <f>-F87*Other_DCF!$B$9</f>
        <v>0</v>
      </c>
      <c r="H87" s="124">
        <f>-Other_DCF!$B$28*C87</f>
        <v>0</v>
      </c>
      <c r="I87" s="98">
        <f t="shared" si="21"/>
        <v>-2.0818274411918872E-8</v>
      </c>
      <c r="J87" s="98">
        <f t="shared" si="3"/>
        <v>-2.2379644992812788E-8</v>
      </c>
      <c r="K87" s="98">
        <f>-I87*Other_DCF!$B$7</f>
        <v>1.5613705808939153E-9</v>
      </c>
      <c r="L87" s="124">
        <f>-(K87*Other_DCF!$B$9)</f>
        <v>0</v>
      </c>
      <c r="M87" s="98">
        <f t="shared" si="9"/>
        <v>0</v>
      </c>
      <c r="N87" s="98">
        <f t="shared" si="10"/>
        <v>0</v>
      </c>
      <c r="O87" s="98">
        <f t="shared" si="11"/>
        <v>0</v>
      </c>
      <c r="P87" s="98">
        <f t="shared" si="12"/>
        <v>0</v>
      </c>
      <c r="Q87" s="124">
        <f t="shared" si="13"/>
        <v>0</v>
      </c>
      <c r="R87" s="98">
        <f t="shared" si="14"/>
        <v>0</v>
      </c>
      <c r="S87" s="98">
        <f t="shared" si="15"/>
        <v>0</v>
      </c>
      <c r="T87" s="124">
        <f t="shared" si="16"/>
        <v>0</v>
      </c>
      <c r="U87" s="124">
        <f t="shared" si="17"/>
        <v>0</v>
      </c>
      <c r="V87" s="68">
        <f t="shared" si="2"/>
        <v>0</v>
      </c>
      <c r="W87" s="124">
        <f t="shared" si="4"/>
        <v>0</v>
      </c>
      <c r="X87" s="124">
        <f t="shared" si="18"/>
        <v>0</v>
      </c>
      <c r="Y87" s="124">
        <f>Baseline_DCF!U87</f>
        <v>0</v>
      </c>
      <c r="Z87" s="124">
        <f t="shared" si="19"/>
        <v>0</v>
      </c>
      <c r="AA87" s="68">
        <f t="shared" si="5"/>
        <v>0</v>
      </c>
      <c r="AB87" s="124">
        <f t="shared" si="6"/>
        <v>0</v>
      </c>
      <c r="AC87" s="124">
        <f t="shared" si="7"/>
        <v>0</v>
      </c>
    </row>
    <row r="88" spans="1:29" ht="14.4" x14ac:dyDescent="0.3">
      <c r="A88" s="35">
        <f t="shared" si="8"/>
        <v>39</v>
      </c>
      <c r="B88" s="44">
        <f>1/(1+Other_DCF!$B$8)^A88</f>
        <v>2.4304420967397926E-2</v>
      </c>
      <c r="C88" s="36">
        <f>IF(A88&lt;(Other_DCF!$B$6+1),1,0)</f>
        <v>0</v>
      </c>
      <c r="D88" s="36">
        <f>IF(A88&lt;(Other_DCF!$B$11+1),1,0)</f>
        <v>0</v>
      </c>
      <c r="E88" s="36">
        <f>IF(A88&lt;(Other_DCF!$B$12+1),1,0)</f>
        <v>0</v>
      </c>
      <c r="F88" s="98">
        <f xml:space="preserve"> -Other_DCF!$B$32*D88</f>
        <v>0</v>
      </c>
      <c r="G88" s="124">
        <f>-F88*Other_DCF!$B$9</f>
        <v>0</v>
      </c>
      <c r="H88" s="124">
        <f>-Other_DCF!$B$28*C88</f>
        <v>0</v>
      </c>
      <c r="I88" s="98">
        <f t="shared" si="21"/>
        <v>-2.2379644992812788E-8</v>
      </c>
      <c r="J88" s="98">
        <f t="shared" si="3"/>
        <v>-2.4058118367273748E-8</v>
      </c>
      <c r="K88" s="98">
        <f>-I88*Other_DCF!$B$7</f>
        <v>1.678473374460959E-9</v>
      </c>
      <c r="L88" s="124">
        <f>-(K88*Other_DCF!$B$9)</f>
        <v>0</v>
      </c>
      <c r="M88" s="98">
        <f t="shared" si="9"/>
        <v>0</v>
      </c>
      <c r="N88" s="98">
        <f t="shared" si="10"/>
        <v>0</v>
      </c>
      <c r="O88" s="98">
        <f t="shared" si="11"/>
        <v>0</v>
      </c>
      <c r="P88" s="98">
        <f t="shared" si="12"/>
        <v>0</v>
      </c>
      <c r="Q88" s="124">
        <f t="shared" si="13"/>
        <v>0</v>
      </c>
      <c r="R88" s="98">
        <f t="shared" si="14"/>
        <v>0</v>
      </c>
      <c r="S88" s="98">
        <f t="shared" si="15"/>
        <v>0</v>
      </c>
      <c r="T88" s="124">
        <f t="shared" si="16"/>
        <v>0</v>
      </c>
      <c r="U88" s="124">
        <f t="shared" si="17"/>
        <v>0</v>
      </c>
      <c r="V88" s="68">
        <f t="shared" si="2"/>
        <v>0</v>
      </c>
      <c r="W88" s="124">
        <f t="shared" si="4"/>
        <v>0</v>
      </c>
      <c r="X88" s="124">
        <f t="shared" si="18"/>
        <v>0</v>
      </c>
      <c r="Y88" s="124">
        <f>Baseline_DCF!U88</f>
        <v>0</v>
      </c>
      <c r="Z88" s="124">
        <f t="shared" si="19"/>
        <v>0</v>
      </c>
      <c r="AA88" s="68">
        <f t="shared" si="5"/>
        <v>0</v>
      </c>
      <c r="AB88" s="124">
        <f t="shared" si="6"/>
        <v>0</v>
      </c>
      <c r="AC88" s="124">
        <f t="shared" si="7"/>
        <v>0</v>
      </c>
    </row>
    <row r="89" spans="1:29" ht="14.4" x14ac:dyDescent="0.3">
      <c r="A89" s="35">
        <f t="shared" si="8"/>
        <v>40</v>
      </c>
      <c r="B89" s="44">
        <f>1/(1+Other_DCF!$B$8)^A89</f>
        <v>2.2094928152179935E-2</v>
      </c>
      <c r="C89" s="36">
        <f>IF(A89&lt;(Other_DCF!$B$6+1),1,0)</f>
        <v>0</v>
      </c>
      <c r="D89" s="36">
        <f>IF(A89&lt;(Other_DCF!$B$11+1),1,0)</f>
        <v>0</v>
      </c>
      <c r="E89" s="36">
        <f>IF(A89&lt;(Other_DCF!$B$12+1),1,0)</f>
        <v>0</v>
      </c>
      <c r="F89" s="98">
        <f xml:space="preserve"> -Other_DCF!$B$32*D89</f>
        <v>0</v>
      </c>
      <c r="G89" s="124">
        <f>-F89*Other_DCF!$B$9</f>
        <v>0</v>
      </c>
      <c r="H89" s="124">
        <f>-Other_DCF!$B$28*C89</f>
        <v>0</v>
      </c>
      <c r="I89" s="98">
        <f t="shared" si="21"/>
        <v>-2.4058118367273748E-8</v>
      </c>
      <c r="J89" s="98">
        <f t="shared" si="3"/>
        <v>-2.5862477244819279E-8</v>
      </c>
      <c r="K89" s="98">
        <f>-I89*Other_DCF!$B$7</f>
        <v>1.8043588775455311E-9</v>
      </c>
      <c r="L89" s="124">
        <f>-(K89*Other_DCF!$B$9)</f>
        <v>0</v>
      </c>
      <c r="M89" s="98">
        <f t="shared" si="9"/>
        <v>0</v>
      </c>
      <c r="N89" s="98">
        <f t="shared" si="10"/>
        <v>0</v>
      </c>
      <c r="O89" s="98">
        <f t="shared" si="11"/>
        <v>0</v>
      </c>
      <c r="P89" s="98">
        <f t="shared" si="12"/>
        <v>0</v>
      </c>
      <c r="Q89" s="124">
        <f t="shared" si="13"/>
        <v>0</v>
      </c>
      <c r="R89" s="98">
        <f t="shared" si="14"/>
        <v>0</v>
      </c>
      <c r="S89" s="98">
        <f t="shared" si="15"/>
        <v>0</v>
      </c>
      <c r="T89" s="124">
        <f t="shared" si="16"/>
        <v>0</v>
      </c>
      <c r="U89" s="124">
        <f t="shared" si="17"/>
        <v>0</v>
      </c>
      <c r="V89" s="68">
        <f t="shared" si="2"/>
        <v>0</v>
      </c>
      <c r="W89" s="124">
        <f t="shared" si="4"/>
        <v>0</v>
      </c>
      <c r="X89" s="124">
        <f t="shared" si="18"/>
        <v>0</v>
      </c>
      <c r="Y89" s="124">
        <f>Baseline_DCF!U89</f>
        <v>0</v>
      </c>
      <c r="Z89" s="124">
        <f t="shared" si="19"/>
        <v>0</v>
      </c>
      <c r="AA89" s="68">
        <f t="shared" si="5"/>
        <v>0</v>
      </c>
      <c r="AB89" s="124">
        <f t="shared" si="6"/>
        <v>0</v>
      </c>
      <c r="AC89" s="124">
        <f t="shared" si="7"/>
        <v>0</v>
      </c>
    </row>
    <row r="90" spans="1:29" ht="19.8" x14ac:dyDescent="0.25">
      <c r="A90" s="116" t="str">
        <f>F1</f>
        <v>Backup</v>
      </c>
      <c r="B90" s="121"/>
      <c r="C90" s="121"/>
      <c r="D90" s="121"/>
      <c r="E90" s="121"/>
      <c r="F90" s="121"/>
      <c r="G90" s="122"/>
      <c r="H90" s="122"/>
      <c r="I90" s="121"/>
      <c r="J90" s="121"/>
      <c r="K90" s="121"/>
      <c r="L90" s="122"/>
      <c r="M90" s="121"/>
      <c r="N90" s="121"/>
      <c r="O90" s="121"/>
      <c r="P90" s="121"/>
      <c r="Q90" s="122"/>
      <c r="R90" s="121"/>
      <c r="S90" s="121"/>
      <c r="T90" s="122"/>
      <c r="U90" s="122"/>
      <c r="V90" s="121"/>
      <c r="AA90" s="140"/>
      <c r="AB90" s="88"/>
    </row>
    <row r="91" spans="1:29" ht="52.8" x14ac:dyDescent="0.25">
      <c r="A91" s="32" t="s">
        <v>58</v>
      </c>
      <c r="B91" s="33" t="s">
        <v>59</v>
      </c>
      <c r="C91" s="33" t="s">
        <v>60</v>
      </c>
      <c r="D91" s="34" t="s">
        <v>61</v>
      </c>
      <c r="E91" s="34" t="s">
        <v>62</v>
      </c>
      <c r="F91" s="33" t="s">
        <v>63</v>
      </c>
      <c r="G91" s="125" t="s">
        <v>64</v>
      </c>
      <c r="H91" s="125" t="s">
        <v>65</v>
      </c>
      <c r="I91" s="33" t="s">
        <v>66</v>
      </c>
      <c r="J91" s="33" t="s">
        <v>67</v>
      </c>
      <c r="K91" s="33" t="s">
        <v>68</v>
      </c>
      <c r="L91" s="125" t="s">
        <v>82</v>
      </c>
      <c r="M91" s="33" t="s">
        <v>69</v>
      </c>
      <c r="N91" s="33" t="s">
        <v>70</v>
      </c>
      <c r="O91" s="33" t="s">
        <v>71</v>
      </c>
      <c r="P91" s="34" t="s">
        <v>72</v>
      </c>
      <c r="Q91" s="125" t="s">
        <v>83</v>
      </c>
      <c r="R91" s="33" t="s">
        <v>73</v>
      </c>
      <c r="S91" s="33" t="s">
        <v>74</v>
      </c>
      <c r="T91" s="127" t="s">
        <v>75</v>
      </c>
      <c r="U91" s="128" t="s">
        <v>150</v>
      </c>
      <c r="V91" s="43" t="s">
        <v>151</v>
      </c>
      <c r="AA91" s="140"/>
      <c r="AB91" s="88"/>
    </row>
    <row r="92" spans="1:29" ht="14.4" x14ac:dyDescent="0.3">
      <c r="A92" s="35">
        <v>0</v>
      </c>
      <c r="B92" s="44">
        <f>1/(1+Other_DCF!$F$8)^A92</f>
        <v>1</v>
      </c>
      <c r="C92" s="35"/>
      <c r="D92" s="36"/>
      <c r="E92" s="36"/>
      <c r="F92" s="98"/>
      <c r="G92" s="124"/>
      <c r="H92" s="124"/>
      <c r="I92" s="98">
        <v>0</v>
      </c>
      <c r="J92" s="98"/>
      <c r="K92" s="98"/>
      <c r="L92" s="124"/>
      <c r="M92" s="98"/>
      <c r="N92" s="98"/>
      <c r="O92" s="98"/>
      <c r="P92" s="98"/>
      <c r="Q92" s="124"/>
      <c r="R92" s="98"/>
      <c r="S92" s="98"/>
      <c r="T92" s="124"/>
      <c r="U92" s="124">
        <f>-Other_DCF!$F$26</f>
        <v>-485746.05891047104</v>
      </c>
      <c r="V92" s="68">
        <f t="shared" ref="V92:V132" si="22">U92*B92</f>
        <v>-485746.05891047104</v>
      </c>
      <c r="AA92" s="140"/>
      <c r="AB92" s="88"/>
    </row>
    <row r="93" spans="1:29" ht="14.4" x14ac:dyDescent="0.3">
      <c r="A93" s="35">
        <f t="shared" ref="A93:A132" si="23">A92+1</f>
        <v>1</v>
      </c>
      <c r="B93" s="44">
        <f>1/(1+Other_DCF!$F$8)^A93</f>
        <v>0.90909090909090906</v>
      </c>
      <c r="C93" s="36">
        <f>IF(A93&lt;(Other_DCF!$F$6+1),1,0)</f>
        <v>1</v>
      </c>
      <c r="D93" s="36">
        <f>IF(A93&lt;(Other_DCF!$F$11+1),1,0)</f>
        <v>1</v>
      </c>
      <c r="E93" s="36">
        <f>IF(A93&lt;(Other_DCF!$F$12+1),1,0)</f>
        <v>1</v>
      </c>
      <c r="F93" s="98">
        <f xml:space="preserve"> -Other_DCF!$F$32*D93</f>
        <v>-80957.676485078497</v>
      </c>
      <c r="G93" s="124">
        <f>-F93*Other_DCF!$F$9</f>
        <v>0</v>
      </c>
      <c r="H93" s="124">
        <f>-Other_DCF!$F$28*C93</f>
        <v>-106149.54762893375</v>
      </c>
      <c r="I93" s="98">
        <f>Other_DCF!F25</f>
        <v>728619.0883657065</v>
      </c>
      <c r="J93" s="98">
        <f t="shared" ref="J93:J132" si="24">I93+H93-K93</f>
        <v>677115.97236420074</v>
      </c>
      <c r="K93" s="98">
        <f>-I93*Other_DCF!$F$7</f>
        <v>-54646.431627427984</v>
      </c>
      <c r="L93" s="124">
        <f>-(K93*Other_DCF!$F$9)</f>
        <v>0</v>
      </c>
      <c r="M93" s="98">
        <f>-Other_DCF!$F$15*Other_DCF!$F$23*E93*(1+Other_DCF!$F$10)^A93</f>
        <v>-24894.485519161637</v>
      </c>
      <c r="N93" s="98">
        <f>M93*Other_DCF!$F$9</f>
        <v>0</v>
      </c>
      <c r="O93" s="98">
        <f>-E93*$H$22*$F$14*(1+$F$10)^A93</f>
        <v>0</v>
      </c>
      <c r="P93" s="98">
        <f>O93*$F$9</f>
        <v>0</v>
      </c>
      <c r="Q93" s="124">
        <f t="shared" ref="Q93:Q132" si="25">(M93+O93-N93-P93)</f>
        <v>-24894.485519161637</v>
      </c>
      <c r="R93" s="98">
        <f>-E93*Other_DCF!$F$21*(1+Other_DCF!$F$17)^(Other_DCF!A93)</f>
        <v>-384375.00000000017</v>
      </c>
      <c r="S93" s="98">
        <f>-R93*Other_DCF!$F$9</f>
        <v>0</v>
      </c>
      <c r="T93" s="124">
        <f t="shared" ref="T93:T132" si="26">R93+S93</f>
        <v>-384375.00000000017</v>
      </c>
      <c r="U93" s="124">
        <f>G93+H93+L93+Q93+T93+IF(AND(E93=1,E94=0),$F$24,0)</f>
        <v>-515419.03314809559</v>
      </c>
      <c r="V93" s="68">
        <f t="shared" si="22"/>
        <v>-468562.7574073596</v>
      </c>
      <c r="AA93" s="140"/>
      <c r="AB93" s="88"/>
    </row>
    <row r="94" spans="1:29" ht="14.4" x14ac:dyDescent="0.3">
      <c r="A94" s="35">
        <f t="shared" si="23"/>
        <v>2</v>
      </c>
      <c r="B94" s="44">
        <f>1/(1+Other_DCF!$F$8)^A94</f>
        <v>0.82644628099173545</v>
      </c>
      <c r="C94" s="36">
        <f>IF(A94&lt;(Other_DCF!$F$6+1),1,0)</f>
        <v>1</v>
      </c>
      <c r="D94" s="36">
        <f>IF(A94&lt;(Other_DCF!$F$11+1),1,0)</f>
        <v>1</v>
      </c>
      <c r="E94" s="36">
        <f>IF(A94&lt;(Other_DCF!$F$12+1),1,0)</f>
        <v>1</v>
      </c>
      <c r="F94" s="98">
        <f xml:space="preserve"> -Other_DCF!$F$32*D94</f>
        <v>-80957.676485078497</v>
      </c>
      <c r="G94" s="124">
        <f>-F94*Other_DCF!$F$9</f>
        <v>0</v>
      </c>
      <c r="H94" s="124">
        <f>-Other_DCF!$F$28*C94</f>
        <v>-106149.54762893375</v>
      </c>
      <c r="I94" s="98">
        <f t="shared" ref="I94:I132" si="27">J93</f>
        <v>677115.97236420074</v>
      </c>
      <c r="J94" s="98">
        <f t="shared" si="24"/>
        <v>621750.12266258197</v>
      </c>
      <c r="K94" s="98">
        <f>-I94*Other_DCF!$F$7</f>
        <v>-50783.697927315057</v>
      </c>
      <c r="L94" s="124">
        <f>-(K94*Other_DCF!$F$9)</f>
        <v>0</v>
      </c>
      <c r="M94" s="98">
        <f>-Other_DCF!$F$15*Other_DCF!$F$23*E94*(1+Other_DCF!$F$10)^A94</f>
        <v>-25516.847657140679</v>
      </c>
      <c r="N94" s="98">
        <f>M94*Other_DCF!$F$9</f>
        <v>0</v>
      </c>
      <c r="O94" s="98">
        <f t="shared" ref="O94:O132" si="28">-E94*$H$22*$F$14*(1+$F$10)^A94</f>
        <v>0</v>
      </c>
      <c r="P94" s="98">
        <f t="shared" ref="P94:P132" si="29">O94*$F$9</f>
        <v>0</v>
      </c>
      <c r="Q94" s="124">
        <f t="shared" si="25"/>
        <v>-25516.847657140679</v>
      </c>
      <c r="R94" s="98">
        <f>-E94*Other_DCF!$F$21*(1+Other_DCF!$F$17)^(Other_DCF!A94)</f>
        <v>-393984.37500000017</v>
      </c>
      <c r="S94" s="98">
        <f>-R94*Other_DCF!$F$9</f>
        <v>0</v>
      </c>
      <c r="T94" s="124">
        <f t="shared" si="26"/>
        <v>-393984.37500000017</v>
      </c>
      <c r="U94" s="124">
        <f t="shared" ref="U94:U132" si="30">G94+H94+L94+Q94+T94+IF(AND(E94=1,E95=0),$F$24,0)</f>
        <v>-525650.77028607461</v>
      </c>
      <c r="V94" s="68">
        <f t="shared" si="22"/>
        <v>-434422.12420336739</v>
      </c>
      <c r="AA94" s="140"/>
      <c r="AB94" s="88"/>
    </row>
    <row r="95" spans="1:29" ht="14.4" x14ac:dyDescent="0.3">
      <c r="A95" s="35">
        <f t="shared" si="23"/>
        <v>3</v>
      </c>
      <c r="B95" s="44">
        <f>1/(1+Other_DCF!$F$8)^A95</f>
        <v>0.75131480090157754</v>
      </c>
      <c r="C95" s="36">
        <f>IF(A95&lt;(Other_DCF!$F$6+1),1,0)</f>
        <v>1</v>
      </c>
      <c r="D95" s="36">
        <f>IF(A95&lt;(Other_DCF!$F$11+1),1,0)</f>
        <v>1</v>
      </c>
      <c r="E95" s="36">
        <f>IF(A95&lt;(Other_DCF!$F$12+1),1,0)</f>
        <v>1</v>
      </c>
      <c r="F95" s="98">
        <f xml:space="preserve"> -Other_DCF!$F$32*D95</f>
        <v>-80957.676485078497</v>
      </c>
      <c r="G95" s="124">
        <f>-F95*Other_DCF!$F$9</f>
        <v>0</v>
      </c>
      <c r="H95" s="124">
        <f>-Other_DCF!$F$28*C95</f>
        <v>-106149.54762893375</v>
      </c>
      <c r="I95" s="98">
        <f t="shared" si="27"/>
        <v>621750.12266258197</v>
      </c>
      <c r="J95" s="98">
        <f t="shared" si="24"/>
        <v>562231.83423334185</v>
      </c>
      <c r="K95" s="98">
        <f>-I95*Other_DCF!$F$7</f>
        <v>-46631.259199693646</v>
      </c>
      <c r="L95" s="124">
        <f>-(K95*Other_DCF!$F$9)</f>
        <v>0</v>
      </c>
      <c r="M95" s="98">
        <f>-Other_DCF!$F$15*Other_DCF!$F$23*E95*(1+Other_DCF!$F$10)^A95</f>
        <v>-26154.768848569194</v>
      </c>
      <c r="N95" s="98">
        <f>M95*Other_DCF!$F$9</f>
        <v>0</v>
      </c>
      <c r="O95" s="98">
        <f t="shared" si="28"/>
        <v>0</v>
      </c>
      <c r="P95" s="98">
        <f t="shared" si="29"/>
        <v>0</v>
      </c>
      <c r="Q95" s="124">
        <f t="shared" si="25"/>
        <v>-26154.768848569194</v>
      </c>
      <c r="R95" s="98">
        <f>-E95*Other_DCF!$F$21*(1+Other_DCF!$F$17)^(Other_DCF!A95)</f>
        <v>-403833.98437500012</v>
      </c>
      <c r="S95" s="98">
        <f>-R95*Other_DCF!$F$9</f>
        <v>0</v>
      </c>
      <c r="T95" s="124">
        <f t="shared" si="26"/>
        <v>-403833.98437500012</v>
      </c>
      <c r="U95" s="124">
        <f t="shared" si="30"/>
        <v>-536138.30085250305</v>
      </c>
      <c r="V95" s="68">
        <f t="shared" si="22"/>
        <v>-402808.64076070843</v>
      </c>
      <c r="AA95" s="140"/>
      <c r="AB95" s="88"/>
    </row>
    <row r="96" spans="1:29" ht="14.4" x14ac:dyDescent="0.3">
      <c r="A96" s="35">
        <f t="shared" si="23"/>
        <v>4</v>
      </c>
      <c r="B96" s="44">
        <f>1/(1+Other_DCF!$F$8)^A96</f>
        <v>0.68301345536507052</v>
      </c>
      <c r="C96" s="36">
        <f>IF(A96&lt;(Other_DCF!$F$6+1),1,0)</f>
        <v>1</v>
      </c>
      <c r="D96" s="36">
        <f>IF(A96&lt;(Other_DCF!$F$11+1),1,0)</f>
        <v>1</v>
      </c>
      <c r="E96" s="36">
        <f>IF(A96&lt;(Other_DCF!$F$12+1),1,0)</f>
        <v>1</v>
      </c>
      <c r="F96" s="98">
        <f xml:space="preserve"> -Other_DCF!$F$32*D96</f>
        <v>-80957.676485078497</v>
      </c>
      <c r="G96" s="124">
        <f>-F96*Other_DCF!$F$9</f>
        <v>0</v>
      </c>
      <c r="H96" s="124">
        <f>-Other_DCF!$F$28*C96</f>
        <v>-106149.54762893375</v>
      </c>
      <c r="I96" s="98">
        <f t="shared" si="27"/>
        <v>562231.83423334185</v>
      </c>
      <c r="J96" s="98">
        <f t="shared" si="24"/>
        <v>498249.67417190876</v>
      </c>
      <c r="K96" s="98">
        <f>-I96*Other_DCF!$F$7</f>
        <v>-42167.387567500635</v>
      </c>
      <c r="L96" s="124">
        <f>-(K96*Other_DCF!$F$9)</f>
        <v>0</v>
      </c>
      <c r="M96" s="98">
        <f>-Other_DCF!$F$15*Other_DCF!$F$23*E96*(1+Other_DCF!$F$10)^A96</f>
        <v>-26808.638069783425</v>
      </c>
      <c r="N96" s="98">
        <f>M96*Other_DCF!$F$9</f>
        <v>0</v>
      </c>
      <c r="O96" s="98">
        <f t="shared" si="28"/>
        <v>0</v>
      </c>
      <c r="P96" s="98">
        <f t="shared" si="29"/>
        <v>0</v>
      </c>
      <c r="Q96" s="124">
        <f t="shared" si="25"/>
        <v>-26808.638069783425</v>
      </c>
      <c r="R96" s="98">
        <f>-E96*Other_DCF!$F$21*(1+Other_DCF!$F$17)^(Other_DCF!A96)</f>
        <v>-413929.83398437512</v>
      </c>
      <c r="S96" s="98">
        <f>-R96*Other_DCF!$F$9</f>
        <v>0</v>
      </c>
      <c r="T96" s="124">
        <f t="shared" si="26"/>
        <v>-413929.83398437512</v>
      </c>
      <c r="U96" s="124">
        <f t="shared" si="30"/>
        <v>-546888.01968309237</v>
      </c>
      <c r="V96" s="68">
        <f t="shared" si="22"/>
        <v>-373531.87602150964</v>
      </c>
      <c r="AA96" s="140"/>
      <c r="AB96" s="88"/>
    </row>
    <row r="97" spans="1:28" ht="14.4" x14ac:dyDescent="0.3">
      <c r="A97" s="35">
        <f t="shared" si="23"/>
        <v>5</v>
      </c>
      <c r="B97" s="44">
        <f>1/(1+Other_DCF!$F$8)^A97</f>
        <v>0.62092132305915493</v>
      </c>
      <c r="C97" s="36">
        <f>IF(A97&lt;(Other_DCF!$F$6+1),1,0)</f>
        <v>1</v>
      </c>
      <c r="D97" s="36">
        <f>IF(A97&lt;(Other_DCF!$F$11+1),1,0)</f>
        <v>1</v>
      </c>
      <c r="E97" s="36">
        <f>IF(A97&lt;(Other_DCF!$F$12+1),1,0)</f>
        <v>1</v>
      </c>
      <c r="F97" s="98">
        <f xml:space="preserve"> -Other_DCF!$F$32*D97</f>
        <v>-80957.676485078497</v>
      </c>
      <c r="G97" s="124">
        <f>-F97*Other_DCF!$F$9</f>
        <v>0</v>
      </c>
      <c r="H97" s="124">
        <f>-Other_DCF!$F$28*C97</f>
        <v>-106149.54762893375</v>
      </c>
      <c r="I97" s="98">
        <f t="shared" si="27"/>
        <v>498249.67417190876</v>
      </c>
      <c r="J97" s="98">
        <f t="shared" si="24"/>
        <v>429468.85210586817</v>
      </c>
      <c r="K97" s="98">
        <f>-I97*Other_DCF!$F$7</f>
        <v>-37368.725562893153</v>
      </c>
      <c r="L97" s="124">
        <f>-(K97*Other_DCF!$F$9)</f>
        <v>0</v>
      </c>
      <c r="M97" s="98">
        <f>-Other_DCF!$F$15*Other_DCF!$F$23*E97*(1+Other_DCF!$F$10)^A97</f>
        <v>-27478.854021528005</v>
      </c>
      <c r="N97" s="98">
        <f>M97*Other_DCF!$F$9</f>
        <v>0</v>
      </c>
      <c r="O97" s="98">
        <f t="shared" si="28"/>
        <v>0</v>
      </c>
      <c r="P97" s="98">
        <f t="shared" si="29"/>
        <v>0</v>
      </c>
      <c r="Q97" s="124">
        <f t="shared" si="25"/>
        <v>-27478.854021528005</v>
      </c>
      <c r="R97" s="98">
        <f>-E97*Other_DCF!$F$21*(1+Other_DCF!$F$17)^(Other_DCF!A97)</f>
        <v>-424278.07983398443</v>
      </c>
      <c r="S97" s="98">
        <f>-R97*Other_DCF!$F$9</f>
        <v>0</v>
      </c>
      <c r="T97" s="124">
        <f t="shared" si="26"/>
        <v>-424278.07983398443</v>
      </c>
      <c r="U97" s="124">
        <f t="shared" si="30"/>
        <v>-557906.48148444621</v>
      </c>
      <c r="V97" s="68">
        <f t="shared" si="22"/>
        <v>-346416.03062660026</v>
      </c>
      <c r="AA97" s="140"/>
      <c r="AB97" s="88"/>
    </row>
    <row r="98" spans="1:28" ht="14.4" x14ac:dyDescent="0.3">
      <c r="A98" s="35">
        <f t="shared" si="23"/>
        <v>6</v>
      </c>
      <c r="B98" s="44">
        <f>1/(1+Other_DCF!$F$8)^A98</f>
        <v>0.56447393005377722</v>
      </c>
      <c r="C98" s="36">
        <f>IF(A98&lt;(Other_DCF!$F$6+1),1,0)</f>
        <v>1</v>
      </c>
      <c r="D98" s="36">
        <f>IF(A98&lt;(Other_DCF!$F$11+1),1,0)</f>
        <v>1</v>
      </c>
      <c r="E98" s="36">
        <f>IF(A98&lt;(Other_DCF!$F$12+1),1,0)</f>
        <v>1</v>
      </c>
      <c r="F98" s="98">
        <f xml:space="preserve"> -Other_DCF!$F$32*D98</f>
        <v>-80957.676485078497</v>
      </c>
      <c r="G98" s="124">
        <f>-F98*Other_DCF!$F$9</f>
        <v>0</v>
      </c>
      <c r="H98" s="124">
        <f>-Other_DCF!$F$28*C98</f>
        <v>-106149.54762893375</v>
      </c>
      <c r="I98" s="98">
        <f t="shared" si="27"/>
        <v>429468.85210586817</v>
      </c>
      <c r="J98" s="98">
        <f t="shared" si="24"/>
        <v>355529.46838487452</v>
      </c>
      <c r="K98" s="98">
        <f>-I98*Other_DCF!$F$7</f>
        <v>-32210.16390794011</v>
      </c>
      <c r="L98" s="124">
        <f>-(K98*Other_DCF!$F$9)</f>
        <v>0</v>
      </c>
      <c r="M98" s="98">
        <f>-Other_DCF!$F$15*Other_DCF!$F$23*E98*(1+Other_DCF!$F$10)^A98</f>
        <v>-28165.825372066203</v>
      </c>
      <c r="N98" s="98">
        <f>M98*Other_DCF!$F$9</f>
        <v>0</v>
      </c>
      <c r="O98" s="98">
        <f t="shared" si="28"/>
        <v>0</v>
      </c>
      <c r="P98" s="98">
        <f t="shared" si="29"/>
        <v>0</v>
      </c>
      <c r="Q98" s="124">
        <f t="shared" si="25"/>
        <v>-28165.825372066203</v>
      </c>
      <c r="R98" s="98">
        <f>-E98*Other_DCF!$F$21*(1+Other_DCF!$F$17)^(Other_DCF!A98)</f>
        <v>-434885.03182983404</v>
      </c>
      <c r="S98" s="98">
        <f>-R98*Other_DCF!$F$9</f>
        <v>0</v>
      </c>
      <c r="T98" s="124">
        <f t="shared" si="26"/>
        <v>-434885.03182983404</v>
      </c>
      <c r="U98" s="124">
        <f t="shared" si="30"/>
        <v>-569200.40483083401</v>
      </c>
      <c r="V98" s="68">
        <f t="shared" si="22"/>
        <v>-321298.78950306185</v>
      </c>
      <c r="AA98" s="140"/>
      <c r="AB98" s="88"/>
    </row>
    <row r="99" spans="1:28" ht="14.4" x14ac:dyDescent="0.3">
      <c r="A99" s="35">
        <f t="shared" si="23"/>
        <v>7</v>
      </c>
      <c r="B99" s="44">
        <f>1/(1+Other_DCF!$F$8)^A99</f>
        <v>0.51315811823070645</v>
      </c>
      <c r="C99" s="36">
        <f>IF(A99&lt;(Other_DCF!$F$6+1),1,0)</f>
        <v>1</v>
      </c>
      <c r="D99" s="36">
        <f>IF(A99&lt;(Other_DCF!$F$11+1),1,0)</f>
        <v>1</v>
      </c>
      <c r="E99" s="36">
        <f>IF(A99&lt;(Other_DCF!$F$12+1),1,0)</f>
        <v>1</v>
      </c>
      <c r="F99" s="98">
        <f xml:space="preserve"> -Other_DCF!$F$32*D99</f>
        <v>-80957.676485078497</v>
      </c>
      <c r="G99" s="124">
        <f>-F99*Other_DCF!$F$9</f>
        <v>0</v>
      </c>
      <c r="H99" s="124">
        <f>-Other_DCF!$F$28*C99</f>
        <v>-106149.54762893375</v>
      </c>
      <c r="I99" s="98">
        <f t="shared" si="27"/>
        <v>355529.46838487452</v>
      </c>
      <c r="J99" s="98">
        <f t="shared" si="24"/>
        <v>276044.63088480639</v>
      </c>
      <c r="K99" s="98">
        <f>-I99*Other_DCF!$F$7</f>
        <v>-26664.710128865587</v>
      </c>
      <c r="L99" s="124">
        <f>-(K99*Other_DCF!$F$9)</f>
        <v>0</v>
      </c>
      <c r="M99" s="98">
        <f>-Other_DCF!$F$15*Other_DCF!$F$23*E99*(1+Other_DCF!$F$10)^A99</f>
        <v>-28869.971006367861</v>
      </c>
      <c r="N99" s="98">
        <f>M99*Other_DCF!$F$9</f>
        <v>0</v>
      </c>
      <c r="O99" s="98">
        <f t="shared" si="28"/>
        <v>0</v>
      </c>
      <c r="P99" s="98">
        <f t="shared" si="29"/>
        <v>0</v>
      </c>
      <c r="Q99" s="124">
        <f t="shared" si="25"/>
        <v>-28869.971006367861</v>
      </c>
      <c r="R99" s="98">
        <f>-E99*Other_DCF!$F$21*(1+Other_DCF!$F$17)^(Other_DCF!A99)</f>
        <v>-445757.15762557992</v>
      </c>
      <c r="S99" s="98">
        <f>-R99*Other_DCF!$F$9</f>
        <v>0</v>
      </c>
      <c r="T99" s="124">
        <f t="shared" si="26"/>
        <v>-445757.15762557992</v>
      </c>
      <c r="U99" s="124">
        <f t="shared" si="30"/>
        <v>-580776.67626088159</v>
      </c>
      <c r="V99" s="68">
        <f t="shared" si="22"/>
        <v>-298030.2663023182</v>
      </c>
      <c r="AA99" s="140"/>
      <c r="AB99" s="88"/>
    </row>
    <row r="100" spans="1:28" ht="14.4" x14ac:dyDescent="0.3">
      <c r="A100" s="35">
        <f t="shared" si="23"/>
        <v>8</v>
      </c>
      <c r="B100" s="44">
        <f>1/(1+Other_DCF!$F$8)^A100</f>
        <v>0.46650738020973315</v>
      </c>
      <c r="C100" s="36">
        <f>IF(A100&lt;(Other_DCF!$F$6+1),1,0)</f>
        <v>1</v>
      </c>
      <c r="D100" s="36">
        <f>IF(A100&lt;(Other_DCF!$F$11+1),1,0)</f>
        <v>1</v>
      </c>
      <c r="E100" s="36">
        <f>IF(A100&lt;(Other_DCF!$F$12+1),1,0)</f>
        <v>1</v>
      </c>
      <c r="F100" s="98">
        <f xml:space="preserve"> -Other_DCF!$F$32*D100</f>
        <v>-80957.676485078497</v>
      </c>
      <c r="G100" s="124">
        <f>-F100*Other_DCF!$F$9</f>
        <v>0</v>
      </c>
      <c r="H100" s="124">
        <f>-Other_DCF!$F$28*C100</f>
        <v>-106149.54762893375</v>
      </c>
      <c r="I100" s="98">
        <f t="shared" si="27"/>
        <v>276044.63088480639</v>
      </c>
      <c r="J100" s="98">
        <f t="shared" si="24"/>
        <v>190598.43057223313</v>
      </c>
      <c r="K100" s="98">
        <f>-I100*Other_DCF!$F$7</f>
        <v>-20703.347316360479</v>
      </c>
      <c r="L100" s="124">
        <f>-(K100*Other_DCF!$F$9)</f>
        <v>0</v>
      </c>
      <c r="M100" s="98">
        <f>-Other_DCF!$F$15*Other_DCF!$F$23*E100*(1+Other_DCF!$F$10)^A100</f>
        <v>-29591.720281527054</v>
      </c>
      <c r="N100" s="98">
        <f>M100*Other_DCF!$F$9</f>
        <v>0</v>
      </c>
      <c r="O100" s="98">
        <f t="shared" si="28"/>
        <v>0</v>
      </c>
      <c r="P100" s="98">
        <f t="shared" si="29"/>
        <v>0</v>
      </c>
      <c r="Q100" s="124">
        <f t="shared" si="25"/>
        <v>-29591.720281527054</v>
      </c>
      <c r="R100" s="98">
        <f>-E100*Other_DCF!$F$21*(1+Other_DCF!$F$17)^(Other_DCF!A100)</f>
        <v>-456901.08656621934</v>
      </c>
      <c r="S100" s="98">
        <f>-R100*Other_DCF!$F$9</f>
        <v>0</v>
      </c>
      <c r="T100" s="124">
        <f t="shared" si="26"/>
        <v>-456901.08656621934</v>
      </c>
      <c r="U100" s="124">
        <f t="shared" si="30"/>
        <v>-592642.35447668016</v>
      </c>
      <c r="V100" s="68">
        <f t="shared" si="22"/>
        <v>-276472.03218824411</v>
      </c>
      <c r="AA100" s="140"/>
      <c r="AB100" s="88"/>
    </row>
    <row r="101" spans="1:28" ht="14.4" x14ac:dyDescent="0.3">
      <c r="A101" s="35">
        <f t="shared" si="23"/>
        <v>9</v>
      </c>
      <c r="B101" s="44">
        <f>1/(1+Other_DCF!$F$8)^A101</f>
        <v>0.42409761837248466</v>
      </c>
      <c r="C101" s="36">
        <f>IF(A101&lt;(Other_DCF!$F$6+1),1,0)</f>
        <v>1</v>
      </c>
      <c r="D101" s="36">
        <f>IF(A101&lt;(Other_DCF!$F$11+1),1,0)</f>
        <v>1</v>
      </c>
      <c r="E101" s="36">
        <f>IF(A101&lt;(Other_DCF!$F$12+1),1,0)</f>
        <v>1</v>
      </c>
      <c r="F101" s="98">
        <f xml:space="preserve"> -Other_DCF!$F$32*D101</f>
        <v>-80957.676485078497</v>
      </c>
      <c r="G101" s="124">
        <f>-F101*Other_DCF!$F$9</f>
        <v>0</v>
      </c>
      <c r="H101" s="124">
        <f>-Other_DCF!$F$28*C101</f>
        <v>-106149.54762893375</v>
      </c>
      <c r="I101" s="98">
        <f t="shared" si="27"/>
        <v>190598.43057223313</v>
      </c>
      <c r="J101" s="98">
        <f t="shared" si="24"/>
        <v>98743.765236216859</v>
      </c>
      <c r="K101" s="98">
        <f>-I101*Other_DCF!$F$7</f>
        <v>-14294.882292917484</v>
      </c>
      <c r="L101" s="124">
        <f>-(K101*Other_DCF!$F$9)</f>
        <v>0</v>
      </c>
      <c r="M101" s="98">
        <f>-Other_DCF!$F$15*Other_DCF!$F$23*E101*(1+Other_DCF!$F$10)^A101</f>
        <v>-30331.513288565227</v>
      </c>
      <c r="N101" s="98">
        <f>M101*Other_DCF!$F$9</f>
        <v>0</v>
      </c>
      <c r="O101" s="98">
        <f t="shared" si="28"/>
        <v>0</v>
      </c>
      <c r="P101" s="98">
        <f t="shared" si="29"/>
        <v>0</v>
      </c>
      <c r="Q101" s="124">
        <f t="shared" si="25"/>
        <v>-30331.513288565227</v>
      </c>
      <c r="R101" s="98">
        <f>-E101*Other_DCF!$F$21*(1+Other_DCF!$F$17)^(Other_DCF!A101)</f>
        <v>-468323.61373037478</v>
      </c>
      <c r="S101" s="98">
        <f>-R101*Other_DCF!$F$9</f>
        <v>0</v>
      </c>
      <c r="T101" s="124">
        <f t="shared" si="26"/>
        <v>-468323.61373037478</v>
      </c>
      <c r="U101" s="124">
        <f t="shared" si="30"/>
        <v>-604804.67464787373</v>
      </c>
      <c r="V101" s="68">
        <f t="shared" si="22"/>
        <v>-256496.22209870871</v>
      </c>
      <c r="AA101" s="140"/>
      <c r="AB101" s="88"/>
    </row>
    <row r="102" spans="1:28" ht="14.4" x14ac:dyDescent="0.3">
      <c r="A102" s="35">
        <f t="shared" si="23"/>
        <v>10</v>
      </c>
      <c r="B102" s="44">
        <f>1/(1+Other_DCF!$F$8)^A102</f>
        <v>0.38554328942953148</v>
      </c>
      <c r="C102" s="36">
        <f>IF(A102&lt;(Other_DCF!$F$6+1),1,0)</f>
        <v>1</v>
      </c>
      <c r="D102" s="36">
        <f>IF(A102&lt;(Other_DCF!$F$11+1),1,0)</f>
        <v>1</v>
      </c>
      <c r="E102" s="36">
        <f>IF(A102&lt;(Other_DCF!$F$12+1),1,0)</f>
        <v>1</v>
      </c>
      <c r="F102" s="98">
        <f xml:space="preserve"> -Other_DCF!$F$32*D102</f>
        <v>-80957.676485078497</v>
      </c>
      <c r="G102" s="124">
        <f>-F102*Other_DCF!$F$9</f>
        <v>0</v>
      </c>
      <c r="H102" s="124">
        <f>-Other_DCF!$F$28*C102</f>
        <v>-106149.54762893375</v>
      </c>
      <c r="I102" s="98">
        <f t="shared" si="27"/>
        <v>98743.765236216859</v>
      </c>
      <c r="J102" s="98">
        <f t="shared" si="24"/>
        <v>-6.2937033362686634E-10</v>
      </c>
      <c r="K102" s="98">
        <f>-I102*Other_DCF!$F$7</f>
        <v>-7405.7823927162644</v>
      </c>
      <c r="L102" s="124">
        <f>-(K102*Other_DCF!$F$9)</f>
        <v>0</v>
      </c>
      <c r="M102" s="98">
        <f>-Other_DCF!$F$15*Other_DCF!$F$23*E102*(1+Other_DCF!$F$10)^A102</f>
        <v>-31089.801120779357</v>
      </c>
      <c r="N102" s="98">
        <f>M102*Other_DCF!$F$9</f>
        <v>0</v>
      </c>
      <c r="O102" s="98">
        <f t="shared" si="28"/>
        <v>0</v>
      </c>
      <c r="P102" s="98">
        <f t="shared" si="29"/>
        <v>0</v>
      </c>
      <c r="Q102" s="124">
        <f t="shared" si="25"/>
        <v>-31089.801120779357</v>
      </c>
      <c r="R102" s="98">
        <f>-E102*Other_DCF!$F$21*(1+Other_DCF!$F$17)^(Other_DCF!A102)</f>
        <v>-480031.70407363412</v>
      </c>
      <c r="S102" s="98">
        <f>-R102*Other_DCF!$F$9</f>
        <v>0</v>
      </c>
      <c r="T102" s="124">
        <f t="shared" si="26"/>
        <v>-480031.70407363412</v>
      </c>
      <c r="U102" s="124">
        <f t="shared" si="30"/>
        <v>-617271.05282334727</v>
      </c>
      <c r="V102" s="68">
        <f t="shared" si="22"/>
        <v>-237984.71217514339</v>
      </c>
      <c r="AA102" s="140"/>
      <c r="AB102" s="88"/>
    </row>
    <row r="103" spans="1:28" ht="14.4" x14ac:dyDescent="0.3">
      <c r="A103" s="35">
        <f t="shared" si="23"/>
        <v>11</v>
      </c>
      <c r="B103" s="44">
        <f>1/(1+Other_DCF!$F$8)^A103</f>
        <v>0.3504938994813922</v>
      </c>
      <c r="C103" s="36">
        <f>IF(A103&lt;(Other_DCF!$F$6+1),1,0)</f>
        <v>0</v>
      </c>
      <c r="D103" s="36">
        <f>IF(A103&lt;(Other_DCF!$F$11+1),1,0)</f>
        <v>1</v>
      </c>
      <c r="E103" s="36">
        <f>IF(A103&lt;(Other_DCF!$F$12+1),1,0)</f>
        <v>1</v>
      </c>
      <c r="F103" s="98">
        <f xml:space="preserve"> -Other_DCF!$F$32*D103</f>
        <v>-80957.676485078497</v>
      </c>
      <c r="G103" s="124">
        <f>-F103*Other_DCF!$F$9</f>
        <v>0</v>
      </c>
      <c r="H103" s="124">
        <f>-Other_DCF!$F$28*C103</f>
        <v>0</v>
      </c>
      <c r="I103" s="98">
        <f t="shared" si="27"/>
        <v>-6.2937033362686634E-10</v>
      </c>
      <c r="J103" s="98">
        <f t="shared" si="24"/>
        <v>-6.765731086488813E-10</v>
      </c>
      <c r="K103" s="98">
        <f>-I103*Other_DCF!$F$7</f>
        <v>4.7202775022014974E-11</v>
      </c>
      <c r="L103" s="124">
        <f>-(K103*Other_DCF!$F$9)</f>
        <v>0</v>
      </c>
      <c r="M103" s="98">
        <f>-Other_DCF!$F$15*Other_DCF!$F$23*E103*(1+Other_DCF!$F$10)^A103</f>
        <v>-31867.04614879884</v>
      </c>
      <c r="N103" s="98">
        <f>M103*Other_DCF!$F$9</f>
        <v>0</v>
      </c>
      <c r="O103" s="98">
        <f t="shared" si="28"/>
        <v>0</v>
      </c>
      <c r="P103" s="98">
        <f t="shared" si="29"/>
        <v>0</v>
      </c>
      <c r="Q103" s="124">
        <f t="shared" si="25"/>
        <v>-31867.04614879884</v>
      </c>
      <c r="R103" s="98">
        <f>-E103*Other_DCF!$F$21*(1+Other_DCF!$F$17)^(Other_DCF!A103)</f>
        <v>-492032.49667547498</v>
      </c>
      <c r="S103" s="98">
        <f>-R103*Other_DCF!$F$9</f>
        <v>0</v>
      </c>
      <c r="T103" s="124">
        <f t="shared" si="26"/>
        <v>-492032.49667547498</v>
      </c>
      <c r="U103" s="124">
        <f t="shared" si="30"/>
        <v>-523899.54282427381</v>
      </c>
      <c r="V103" s="68">
        <f t="shared" si="22"/>
        <v>-183623.59370099835</v>
      </c>
      <c r="AA103" s="140"/>
      <c r="AB103" s="88"/>
    </row>
    <row r="104" spans="1:28" ht="14.4" x14ac:dyDescent="0.3">
      <c r="A104" s="35">
        <f t="shared" si="23"/>
        <v>12</v>
      </c>
      <c r="B104" s="44">
        <f>1/(1+Other_DCF!$F$8)^A104</f>
        <v>0.31863081771035656</v>
      </c>
      <c r="C104" s="36">
        <f>IF(A104&lt;(Other_DCF!$F$6+1),1,0)</f>
        <v>0</v>
      </c>
      <c r="D104" s="36">
        <f>IF(A104&lt;(Other_DCF!$F$11+1),1,0)</f>
        <v>1</v>
      </c>
      <c r="E104" s="36">
        <f>IF(A104&lt;(Other_DCF!$F$12+1),1,0)</f>
        <v>1</v>
      </c>
      <c r="F104" s="98">
        <f xml:space="preserve"> -Other_DCF!$F$32*D104</f>
        <v>-80957.676485078497</v>
      </c>
      <c r="G104" s="124">
        <f>-F104*Other_DCF!$F$9</f>
        <v>0</v>
      </c>
      <c r="H104" s="124">
        <f>-Other_DCF!$F$28*C104</f>
        <v>0</v>
      </c>
      <c r="I104" s="98">
        <f t="shared" si="27"/>
        <v>-6.765731086488813E-10</v>
      </c>
      <c r="J104" s="98">
        <f t="shared" si="24"/>
        <v>-7.2731609179754741E-10</v>
      </c>
      <c r="K104" s="98">
        <f>-I104*Other_DCF!$F$7</f>
        <v>5.0742983148666096E-11</v>
      </c>
      <c r="L104" s="124">
        <f>-(K104*Other_DCF!$F$9)</f>
        <v>0</v>
      </c>
      <c r="M104" s="98">
        <f>-Other_DCF!$F$15*Other_DCF!$F$23*E104*(1+Other_DCF!$F$10)^A104</f>
        <v>-32663.722302518807</v>
      </c>
      <c r="N104" s="98">
        <f>M104*Other_DCF!$F$9</f>
        <v>0</v>
      </c>
      <c r="O104" s="98">
        <f t="shared" si="28"/>
        <v>0</v>
      </c>
      <c r="P104" s="98">
        <f t="shared" si="29"/>
        <v>0</v>
      </c>
      <c r="Q104" s="124">
        <f t="shared" si="25"/>
        <v>-32663.722302518807</v>
      </c>
      <c r="R104" s="98">
        <f>-E104*Other_DCF!$F$21*(1+Other_DCF!$F$17)^(Other_DCF!A104)</f>
        <v>-504333.30909236183</v>
      </c>
      <c r="S104" s="98">
        <f>-R104*Other_DCF!$F$9</f>
        <v>0</v>
      </c>
      <c r="T104" s="124">
        <f t="shared" si="26"/>
        <v>-504333.30909236183</v>
      </c>
      <c r="U104" s="124">
        <f t="shared" si="30"/>
        <v>-536997.03139488061</v>
      </c>
      <c r="V104" s="68">
        <f t="shared" si="22"/>
        <v>-171103.80322138482</v>
      </c>
      <c r="AA104" s="140"/>
      <c r="AB104" s="88"/>
    </row>
    <row r="105" spans="1:28" ht="14.4" x14ac:dyDescent="0.3">
      <c r="A105" s="35">
        <f t="shared" si="23"/>
        <v>13</v>
      </c>
      <c r="B105" s="44">
        <f>1/(1+Other_DCF!$F$8)^A105</f>
        <v>0.28966437973668779</v>
      </c>
      <c r="C105" s="36">
        <f>IF(A105&lt;(Other_DCF!$F$6+1),1,0)</f>
        <v>0</v>
      </c>
      <c r="D105" s="36">
        <f>IF(A105&lt;(Other_DCF!$F$11+1),1,0)</f>
        <v>1</v>
      </c>
      <c r="E105" s="36">
        <f>IF(A105&lt;(Other_DCF!$F$12+1),1,0)</f>
        <v>1</v>
      </c>
      <c r="F105" s="98">
        <f xml:space="preserve"> -Other_DCF!$F$32*D105</f>
        <v>-80957.676485078497</v>
      </c>
      <c r="G105" s="124">
        <f>-F105*Other_DCF!$F$9</f>
        <v>0</v>
      </c>
      <c r="H105" s="124">
        <f>-Other_DCF!$F$28*C105</f>
        <v>0</v>
      </c>
      <c r="I105" s="98">
        <f t="shared" si="27"/>
        <v>-7.2731609179754741E-10</v>
      </c>
      <c r="J105" s="98">
        <f t="shared" si="24"/>
        <v>-7.8186479868236343E-10</v>
      </c>
      <c r="K105" s="98">
        <f>-I105*Other_DCF!$F$7</f>
        <v>5.4548706884816055E-11</v>
      </c>
      <c r="L105" s="124">
        <f>-(K105*Other_DCF!$F$9)</f>
        <v>0</v>
      </c>
      <c r="M105" s="98">
        <f>-Other_DCF!$F$15*Other_DCF!$F$23*E105*(1+Other_DCF!$F$10)^A105</f>
        <v>-33480.315360081775</v>
      </c>
      <c r="N105" s="98">
        <f>M105*Other_DCF!$F$9</f>
        <v>0</v>
      </c>
      <c r="O105" s="98">
        <f t="shared" si="28"/>
        <v>0</v>
      </c>
      <c r="P105" s="98">
        <f t="shared" si="29"/>
        <v>0</v>
      </c>
      <c r="Q105" s="124">
        <f t="shared" si="25"/>
        <v>-33480.315360081775</v>
      </c>
      <c r="R105" s="98">
        <f>-E105*Other_DCF!$F$21*(1+Other_DCF!$F$17)^(Other_DCF!A105)</f>
        <v>-516941.64181967085</v>
      </c>
      <c r="S105" s="98">
        <f>-R105*Other_DCF!$F$9</f>
        <v>0</v>
      </c>
      <c r="T105" s="124">
        <f t="shared" si="26"/>
        <v>-516941.64181967085</v>
      </c>
      <c r="U105" s="124">
        <f t="shared" si="30"/>
        <v>-550421.95717975264</v>
      </c>
      <c r="V105" s="68">
        <f t="shared" si="22"/>
        <v>-159437.63481992678</v>
      </c>
      <c r="AA105" s="140"/>
      <c r="AB105" s="88"/>
    </row>
    <row r="106" spans="1:28" ht="14.4" x14ac:dyDescent="0.3">
      <c r="A106" s="35">
        <f t="shared" si="23"/>
        <v>14</v>
      </c>
      <c r="B106" s="44">
        <f>1/(1+Other_DCF!$F$8)^A106</f>
        <v>0.26333125430607973</v>
      </c>
      <c r="C106" s="36">
        <f>IF(A106&lt;(Other_DCF!$F$6+1),1,0)</f>
        <v>0</v>
      </c>
      <c r="D106" s="36">
        <f>IF(A106&lt;(Other_DCF!$F$11+1),1,0)</f>
        <v>1</v>
      </c>
      <c r="E106" s="36">
        <f>IF(A106&lt;(Other_DCF!$F$12+1),1,0)</f>
        <v>1</v>
      </c>
      <c r="F106" s="98">
        <f xml:space="preserve"> -Other_DCF!$F$32*D106</f>
        <v>-80957.676485078497</v>
      </c>
      <c r="G106" s="124">
        <f>-F106*Other_DCF!$F$9</f>
        <v>0</v>
      </c>
      <c r="H106" s="124">
        <f>-Other_DCF!$F$28*C106</f>
        <v>0</v>
      </c>
      <c r="I106" s="98">
        <f t="shared" si="27"/>
        <v>-7.8186479868236343E-10</v>
      </c>
      <c r="J106" s="98">
        <f t="shared" si="24"/>
        <v>-8.405046585835407E-10</v>
      </c>
      <c r="K106" s="98">
        <f>-I106*Other_DCF!$F$7</f>
        <v>5.863985990117725E-11</v>
      </c>
      <c r="L106" s="124">
        <f>-(K106*Other_DCF!$F$9)</f>
        <v>0</v>
      </c>
      <c r="M106" s="98">
        <f>-Other_DCF!$F$15*Other_DCF!$F$23*E106*(1+Other_DCF!$F$10)^A106</f>
        <v>-34317.323244083818</v>
      </c>
      <c r="N106" s="98">
        <f>M106*Other_DCF!$F$9</f>
        <v>0</v>
      </c>
      <c r="O106" s="98">
        <f t="shared" si="28"/>
        <v>0</v>
      </c>
      <c r="P106" s="98">
        <f t="shared" si="29"/>
        <v>0</v>
      </c>
      <c r="Q106" s="124">
        <f t="shared" si="25"/>
        <v>-34317.323244083818</v>
      </c>
      <c r="R106" s="98">
        <f>-E106*Other_DCF!$F$21*(1+Other_DCF!$F$17)^(Other_DCF!A106)</f>
        <v>-529865.1828651625</v>
      </c>
      <c r="S106" s="98">
        <f>-R106*Other_DCF!$F$9</f>
        <v>0</v>
      </c>
      <c r="T106" s="124">
        <f t="shared" si="26"/>
        <v>-529865.1828651625</v>
      </c>
      <c r="U106" s="124">
        <f t="shared" si="30"/>
        <v>-564182.50610924629</v>
      </c>
      <c r="V106" s="68">
        <f t="shared" si="22"/>
        <v>-148566.88699129532</v>
      </c>
      <c r="AA106" s="140"/>
      <c r="AB106" s="88"/>
    </row>
    <row r="107" spans="1:28" ht="14.4" x14ac:dyDescent="0.3">
      <c r="A107" s="35">
        <f t="shared" si="23"/>
        <v>15</v>
      </c>
      <c r="B107" s="44">
        <f>1/(1+Other_DCF!$F$8)^A107</f>
        <v>0.23939204936916339</v>
      </c>
      <c r="C107" s="36">
        <f>IF(A107&lt;(Other_DCF!$F$6+1),1,0)</f>
        <v>0</v>
      </c>
      <c r="D107" s="36">
        <f>IF(A107&lt;(Other_DCF!$F$11+1),1,0)</f>
        <v>1</v>
      </c>
      <c r="E107" s="36">
        <f>IF(A107&lt;(Other_DCF!$F$12+1),1,0)</f>
        <v>1</v>
      </c>
      <c r="F107" s="98">
        <f xml:space="preserve"> -Other_DCF!$F$32*D107</f>
        <v>-80957.676485078497</v>
      </c>
      <c r="G107" s="124">
        <f>-F107*Other_DCF!$F$9</f>
        <v>0</v>
      </c>
      <c r="H107" s="124">
        <f>-Other_DCF!$F$28*C107</f>
        <v>0</v>
      </c>
      <c r="I107" s="98">
        <f t="shared" si="27"/>
        <v>-8.405046585835407E-10</v>
      </c>
      <c r="J107" s="98">
        <f t="shared" si="24"/>
        <v>-9.0354250797730629E-10</v>
      </c>
      <c r="K107" s="98">
        <f>-I107*Other_DCF!$F$7</f>
        <v>6.3037849393765555E-11</v>
      </c>
      <c r="L107" s="124">
        <f>-(K107*Other_DCF!$F$9)</f>
        <v>0</v>
      </c>
      <c r="M107" s="98">
        <f>-Other_DCF!$F$15*Other_DCF!$F$23*E107*(1+Other_DCF!$F$10)^A107</f>
        <v>-35175.256325185917</v>
      </c>
      <c r="N107" s="98">
        <f>M107*Other_DCF!$F$9</f>
        <v>0</v>
      </c>
      <c r="O107" s="98">
        <f t="shared" si="28"/>
        <v>0</v>
      </c>
      <c r="P107" s="98">
        <f t="shared" si="29"/>
        <v>0</v>
      </c>
      <c r="Q107" s="124">
        <f t="shared" si="25"/>
        <v>-35175.256325185917</v>
      </c>
      <c r="R107" s="98">
        <f>-E107*Other_DCF!$F$21*(1+Other_DCF!$F$17)^(Other_DCF!A107)</f>
        <v>-543111.81243679172</v>
      </c>
      <c r="S107" s="98">
        <f>-R107*Other_DCF!$F$9</f>
        <v>0</v>
      </c>
      <c r="T107" s="124">
        <f t="shared" si="26"/>
        <v>-543111.81243679172</v>
      </c>
      <c r="U107" s="124">
        <f t="shared" si="30"/>
        <v>-578287.0687619776</v>
      </c>
      <c r="V107" s="68">
        <f t="shared" si="22"/>
        <v>-138437.32651461611</v>
      </c>
      <c r="AA107" s="140"/>
      <c r="AB107" s="88"/>
    </row>
    <row r="108" spans="1:28" ht="14.4" x14ac:dyDescent="0.3">
      <c r="A108" s="35">
        <f t="shared" si="23"/>
        <v>16</v>
      </c>
      <c r="B108" s="44">
        <f>1/(1+Other_DCF!$F$8)^A108</f>
        <v>0.21762913579014853</v>
      </c>
      <c r="C108" s="36">
        <f>IF(A108&lt;(Other_DCF!$F$6+1),1,0)</f>
        <v>0</v>
      </c>
      <c r="D108" s="36">
        <f>IF(A108&lt;(Other_DCF!$F$11+1),1,0)</f>
        <v>0</v>
      </c>
      <c r="E108" s="36">
        <f>IF(A108&lt;(Other_DCF!$F$12+1),1,0)</f>
        <v>1</v>
      </c>
      <c r="F108" s="98">
        <f xml:space="preserve"> -Other_DCF!$F$32*D108</f>
        <v>0</v>
      </c>
      <c r="G108" s="124">
        <f>-F108*Other_DCF!$F$9</f>
        <v>0</v>
      </c>
      <c r="H108" s="124">
        <f>-Other_DCF!$F$28*C108</f>
        <v>0</v>
      </c>
      <c r="I108" s="98">
        <f t="shared" si="27"/>
        <v>-9.0354250797730629E-10</v>
      </c>
      <c r="J108" s="98">
        <f t="shared" si="24"/>
        <v>-9.713081960756042E-10</v>
      </c>
      <c r="K108" s="98">
        <f>-I108*Other_DCF!$F$7</f>
        <v>6.7765688098297964E-11</v>
      </c>
      <c r="L108" s="124">
        <f>-(K108*Other_DCF!$F$9)</f>
        <v>0</v>
      </c>
      <c r="M108" s="98">
        <f>-Other_DCF!$F$15*Other_DCF!$F$23*E108*(1+Other_DCF!$F$10)^A108</f>
        <v>-36054.637733315561</v>
      </c>
      <c r="N108" s="98">
        <f>M108*Other_DCF!$F$9</f>
        <v>0</v>
      </c>
      <c r="O108" s="98">
        <f t="shared" si="28"/>
        <v>0</v>
      </c>
      <c r="P108" s="98">
        <f t="shared" si="29"/>
        <v>0</v>
      </c>
      <c r="Q108" s="124">
        <f t="shared" si="25"/>
        <v>-36054.637733315561</v>
      </c>
      <c r="R108" s="98">
        <f>-E108*Other_DCF!$F$21*(1+Other_DCF!$F$17)^(Other_DCF!A108)</f>
        <v>-556689.60774771147</v>
      </c>
      <c r="S108" s="98">
        <f>-R108*Other_DCF!$F$9</f>
        <v>0</v>
      </c>
      <c r="T108" s="124">
        <f t="shared" si="26"/>
        <v>-556689.60774771147</v>
      </c>
      <c r="U108" s="124">
        <f t="shared" si="30"/>
        <v>-592744.24548102706</v>
      </c>
      <c r="V108" s="68">
        <f t="shared" si="22"/>
        <v>-128998.41788861957</v>
      </c>
      <c r="AA108" s="140"/>
      <c r="AB108" s="88"/>
    </row>
    <row r="109" spans="1:28" ht="14.4" x14ac:dyDescent="0.3">
      <c r="A109" s="35">
        <f t="shared" si="23"/>
        <v>17</v>
      </c>
      <c r="B109" s="44">
        <f>1/(1+Other_DCF!$F$8)^A109</f>
        <v>0.19784466890013502</v>
      </c>
      <c r="C109" s="36">
        <f>IF(A109&lt;(Other_DCF!$F$6+1),1,0)</f>
        <v>0</v>
      </c>
      <c r="D109" s="36">
        <f>IF(A109&lt;(Other_DCF!$F$11+1),1,0)</f>
        <v>0</v>
      </c>
      <c r="E109" s="36">
        <f>IF(A109&lt;(Other_DCF!$F$12+1),1,0)</f>
        <v>1</v>
      </c>
      <c r="F109" s="98">
        <f xml:space="preserve"> -Other_DCF!$F$32*D109</f>
        <v>0</v>
      </c>
      <c r="G109" s="124">
        <f>-F109*Other_DCF!$F$9</f>
        <v>0</v>
      </c>
      <c r="H109" s="124">
        <f>-Other_DCF!$F$28*C109</f>
        <v>0</v>
      </c>
      <c r="I109" s="98">
        <f t="shared" si="27"/>
        <v>-9.713081960756042E-10</v>
      </c>
      <c r="J109" s="98">
        <f t="shared" si="24"/>
        <v>-1.0441563107812745E-9</v>
      </c>
      <c r="K109" s="98">
        <f>-I109*Other_DCF!$F$7</f>
        <v>7.284811470567031E-11</v>
      </c>
      <c r="L109" s="124">
        <f>-(K109*Other_DCF!$F$9)</f>
        <v>0</v>
      </c>
      <c r="M109" s="98">
        <f>-Other_DCF!$F$15*Other_DCF!$F$23*E109*(1+Other_DCF!$F$10)^A109</f>
        <v>-36956.003676648448</v>
      </c>
      <c r="N109" s="98">
        <f>M109*Other_DCF!$F$9</f>
        <v>0</v>
      </c>
      <c r="O109" s="98">
        <f t="shared" si="28"/>
        <v>0</v>
      </c>
      <c r="P109" s="98">
        <f t="shared" si="29"/>
        <v>0</v>
      </c>
      <c r="Q109" s="124">
        <f t="shared" si="25"/>
        <v>-36956.003676648448</v>
      </c>
      <c r="R109" s="98">
        <f>-E109*Other_DCF!$F$21*(1+Other_DCF!$F$17)^(Other_DCF!A109)</f>
        <v>-570606.84794140409</v>
      </c>
      <c r="S109" s="98">
        <f>-R109*Other_DCF!$F$9</f>
        <v>0</v>
      </c>
      <c r="T109" s="124">
        <f t="shared" si="26"/>
        <v>-570606.84794140409</v>
      </c>
      <c r="U109" s="124">
        <f t="shared" si="30"/>
        <v>-607562.85161805258</v>
      </c>
      <c r="V109" s="68">
        <f t="shared" si="22"/>
        <v>-120203.07121439547</v>
      </c>
      <c r="AA109" s="140"/>
      <c r="AB109" s="88"/>
    </row>
    <row r="110" spans="1:28" ht="14.4" x14ac:dyDescent="0.3">
      <c r="A110" s="35">
        <f t="shared" si="23"/>
        <v>18</v>
      </c>
      <c r="B110" s="44">
        <f>1/(1+Other_DCF!$F$8)^A110</f>
        <v>0.17985878990921364</v>
      </c>
      <c r="C110" s="36">
        <f>IF(A110&lt;(Other_DCF!$F$6+1),1,0)</f>
        <v>0</v>
      </c>
      <c r="D110" s="36">
        <f>IF(A110&lt;(Other_DCF!$F$11+1),1,0)</f>
        <v>0</v>
      </c>
      <c r="E110" s="36">
        <f>IF(A110&lt;(Other_DCF!$F$12+1),1,0)</f>
        <v>1</v>
      </c>
      <c r="F110" s="98">
        <f xml:space="preserve"> -Other_DCF!$F$32*D110</f>
        <v>0</v>
      </c>
      <c r="G110" s="124">
        <f>-F110*Other_DCF!$F$9</f>
        <v>0</v>
      </c>
      <c r="H110" s="124">
        <f>-Other_DCF!$F$28*C110</f>
        <v>0</v>
      </c>
      <c r="I110" s="98">
        <f t="shared" si="27"/>
        <v>-1.0441563107812745E-9</v>
      </c>
      <c r="J110" s="98">
        <f t="shared" si="24"/>
        <v>-1.1224680340898701E-9</v>
      </c>
      <c r="K110" s="98">
        <f>-I110*Other_DCF!$F$7</f>
        <v>7.8311723308595591E-11</v>
      </c>
      <c r="L110" s="124">
        <f>-(K110*Other_DCF!$F$9)</f>
        <v>0</v>
      </c>
      <c r="M110" s="98">
        <f>-Other_DCF!$F$15*Other_DCF!$F$23*E110*(1+Other_DCF!$F$10)^A110</f>
        <v>-37879.903768564662</v>
      </c>
      <c r="N110" s="98">
        <f>M110*Other_DCF!$F$9</f>
        <v>0</v>
      </c>
      <c r="O110" s="98">
        <f t="shared" si="28"/>
        <v>0</v>
      </c>
      <c r="P110" s="98">
        <f t="shared" si="29"/>
        <v>0</v>
      </c>
      <c r="Q110" s="124">
        <f t="shared" si="25"/>
        <v>-37879.903768564662</v>
      </c>
      <c r="R110" s="98">
        <f>-E110*Other_DCF!$F$21*(1+Other_DCF!$F$17)^(Other_DCF!A110)</f>
        <v>-584872.01913993922</v>
      </c>
      <c r="S110" s="98">
        <f>-R110*Other_DCF!$F$9</f>
        <v>0</v>
      </c>
      <c r="T110" s="124">
        <f t="shared" si="26"/>
        <v>-584872.01913993922</v>
      </c>
      <c r="U110" s="124">
        <f t="shared" si="30"/>
        <v>-622751.92290850391</v>
      </c>
      <c r="V110" s="68">
        <f t="shared" si="22"/>
        <v>-112007.40726795941</v>
      </c>
      <c r="AA110" s="140"/>
      <c r="AB110" s="88"/>
    </row>
    <row r="111" spans="1:28" ht="14.4" x14ac:dyDescent="0.3">
      <c r="A111" s="35">
        <f t="shared" si="23"/>
        <v>19</v>
      </c>
      <c r="B111" s="44">
        <f>1/(1+Other_DCF!$F$8)^A111</f>
        <v>0.16350799082655781</v>
      </c>
      <c r="C111" s="36">
        <f>IF(A111&lt;(Other_DCF!$F$6+1),1,0)</f>
        <v>0</v>
      </c>
      <c r="D111" s="36">
        <f>IF(A111&lt;(Other_DCF!$F$11+1),1,0)</f>
        <v>0</v>
      </c>
      <c r="E111" s="36">
        <f>IF(A111&lt;(Other_DCF!$F$12+1),1,0)</f>
        <v>1</v>
      </c>
      <c r="F111" s="98">
        <f xml:space="preserve"> -Other_DCF!$F$32*D111</f>
        <v>0</v>
      </c>
      <c r="G111" s="124">
        <f>-F111*Other_DCF!$F$9</f>
        <v>0</v>
      </c>
      <c r="H111" s="124">
        <f>-Other_DCF!$F$28*C111</f>
        <v>0</v>
      </c>
      <c r="I111" s="98">
        <f t="shared" si="27"/>
        <v>-1.1224680340898701E-9</v>
      </c>
      <c r="J111" s="98">
        <f t="shared" si="24"/>
        <v>-1.2066531366466103E-9</v>
      </c>
      <c r="K111" s="98">
        <f>-I111*Other_DCF!$F$7</f>
        <v>8.4185102556740256E-11</v>
      </c>
      <c r="L111" s="124">
        <f>-(K111*Other_DCF!$F$9)</f>
        <v>0</v>
      </c>
      <c r="M111" s="98">
        <f>-Other_DCF!$F$15*Other_DCF!$F$23*E111*(1+Other_DCF!$F$10)^A111</f>
        <v>-38826.901362778779</v>
      </c>
      <c r="N111" s="98">
        <f>M111*Other_DCF!$F$9</f>
        <v>0</v>
      </c>
      <c r="O111" s="98">
        <f t="shared" si="28"/>
        <v>0</v>
      </c>
      <c r="P111" s="98">
        <f t="shared" si="29"/>
        <v>0</v>
      </c>
      <c r="Q111" s="124">
        <f t="shared" si="25"/>
        <v>-38826.901362778779</v>
      </c>
      <c r="R111" s="98">
        <f>-E111*Other_DCF!$F$21*(1+Other_DCF!$F$17)^(Other_DCF!A111)</f>
        <v>-599493.81961843779</v>
      </c>
      <c r="S111" s="98">
        <f>-R111*Other_DCF!$F$9</f>
        <v>0</v>
      </c>
      <c r="T111" s="124">
        <f t="shared" si="26"/>
        <v>-599493.81961843779</v>
      </c>
      <c r="U111" s="124">
        <f t="shared" si="30"/>
        <v>-638320.72098121652</v>
      </c>
      <c r="V111" s="68">
        <f t="shared" si="22"/>
        <v>-104370.53859059852</v>
      </c>
      <c r="AA111" s="140"/>
      <c r="AB111" s="88"/>
    </row>
    <row r="112" spans="1:28" ht="14.4" x14ac:dyDescent="0.3">
      <c r="A112" s="35">
        <f t="shared" si="23"/>
        <v>20</v>
      </c>
      <c r="B112" s="44">
        <f>1/(1+Other_DCF!$F$8)^A112</f>
        <v>0.14864362802414349</v>
      </c>
      <c r="C112" s="36">
        <f>IF(A112&lt;(Other_DCF!$F$6+1),1,0)</f>
        <v>0</v>
      </c>
      <c r="D112" s="36">
        <f>IF(A112&lt;(Other_DCF!$F$11+1),1,0)</f>
        <v>0</v>
      </c>
      <c r="E112" s="36">
        <f>IF(A112&lt;(Other_DCF!$F$12+1),1,0)</f>
        <v>1</v>
      </c>
      <c r="F112" s="98">
        <f xml:space="preserve"> -Other_DCF!$F$32*D112</f>
        <v>0</v>
      </c>
      <c r="G112" s="124">
        <f>-F112*Other_DCF!$F$9</f>
        <v>0</v>
      </c>
      <c r="H112" s="124">
        <f>-Other_DCF!$F$28*C112</f>
        <v>0</v>
      </c>
      <c r="I112" s="98">
        <f t="shared" si="27"/>
        <v>-1.2066531366466103E-9</v>
      </c>
      <c r="J112" s="98">
        <f t="shared" si="24"/>
        <v>-1.2971521218951061E-9</v>
      </c>
      <c r="K112" s="98">
        <f>-I112*Other_DCF!$F$7</f>
        <v>9.049898524849577E-11</v>
      </c>
      <c r="L112" s="124">
        <f>-(K112*Other_DCF!$F$9)</f>
        <v>0</v>
      </c>
      <c r="M112" s="98">
        <f>-Other_DCF!$F$15*Other_DCF!$F$23*E112*(1+Other_DCF!$F$10)^A112</f>
        <v>-39797.57389684824</v>
      </c>
      <c r="N112" s="98">
        <f>M112*Other_DCF!$F$9</f>
        <v>0</v>
      </c>
      <c r="O112" s="98">
        <f t="shared" si="28"/>
        <v>0</v>
      </c>
      <c r="P112" s="98">
        <f t="shared" si="29"/>
        <v>0</v>
      </c>
      <c r="Q112" s="124">
        <f t="shared" si="25"/>
        <v>-39797.57389684824</v>
      </c>
      <c r="R112" s="98">
        <f>-E112*Other_DCF!$F$21*(1+Other_DCF!$F$17)^(Other_DCF!A112)</f>
        <v>-614481.16510889865</v>
      </c>
      <c r="S112" s="98">
        <f>-R112*Other_DCF!$F$9</f>
        <v>0</v>
      </c>
      <c r="T112" s="124">
        <f t="shared" si="26"/>
        <v>-614481.16510889865</v>
      </c>
      <c r="U112" s="124">
        <f t="shared" si="30"/>
        <v>-593560.48164193798</v>
      </c>
      <c r="V112" s="68">
        <f t="shared" si="22"/>
        <v>-88228.983443015677</v>
      </c>
      <c r="AA112" s="140"/>
      <c r="AB112" s="88"/>
    </row>
    <row r="113" spans="1:28" ht="14.4" x14ac:dyDescent="0.3">
      <c r="A113" s="35">
        <f t="shared" si="23"/>
        <v>21</v>
      </c>
      <c r="B113" s="44">
        <f>1/(1+Other_DCF!$F$8)^A113</f>
        <v>0.13513057093103953</v>
      </c>
      <c r="C113" s="36">
        <f>IF(A113&lt;(Other_DCF!$F$6+1),1,0)</f>
        <v>0</v>
      </c>
      <c r="D113" s="36">
        <f>IF(A113&lt;(Other_DCF!$F$11+1),1,0)</f>
        <v>0</v>
      </c>
      <c r="E113" s="36">
        <f>IF(A113&lt;(Other_DCF!$F$12+1),1,0)</f>
        <v>0</v>
      </c>
      <c r="F113" s="98">
        <f xml:space="preserve"> -Other_DCF!$F$32*D113</f>
        <v>0</v>
      </c>
      <c r="G113" s="124">
        <f>-F113*Other_DCF!$F$9</f>
        <v>0</v>
      </c>
      <c r="H113" s="124">
        <f>-Other_DCF!$F$28*C113</f>
        <v>0</v>
      </c>
      <c r="I113" s="98">
        <f t="shared" si="27"/>
        <v>-1.2971521218951061E-9</v>
      </c>
      <c r="J113" s="98">
        <f t="shared" si="24"/>
        <v>-1.3944385310372391E-9</v>
      </c>
      <c r="K113" s="98">
        <f>-I113*Other_DCF!$F$7</f>
        <v>9.7286409142132954E-11</v>
      </c>
      <c r="L113" s="124">
        <f>-(K113*Other_DCF!$F$9)</f>
        <v>0</v>
      </c>
      <c r="M113" s="98">
        <f>-Other_DCF!$F$15*Other_DCF!$F$23*E113*(1+Other_DCF!$F$10)^A113</f>
        <v>0</v>
      </c>
      <c r="N113" s="98">
        <f>M113*Other_DCF!$F$9</f>
        <v>0</v>
      </c>
      <c r="O113" s="98">
        <f t="shared" si="28"/>
        <v>0</v>
      </c>
      <c r="P113" s="98">
        <f t="shared" si="29"/>
        <v>0</v>
      </c>
      <c r="Q113" s="124">
        <f t="shared" si="25"/>
        <v>0</v>
      </c>
      <c r="R113" s="98">
        <f>-E113*Other_DCF!$F$21*(1+Other_DCF!$F$17)^(Other_DCF!A113)</f>
        <v>0</v>
      </c>
      <c r="S113" s="98">
        <f>-R113*Other_DCF!$F$9</f>
        <v>0</v>
      </c>
      <c r="T113" s="124">
        <f t="shared" si="26"/>
        <v>0</v>
      </c>
      <c r="U113" s="124">
        <f t="shared" si="30"/>
        <v>0</v>
      </c>
      <c r="V113" s="68">
        <f t="shared" si="22"/>
        <v>0</v>
      </c>
      <c r="AA113" s="140"/>
      <c r="AB113" s="88"/>
    </row>
    <row r="114" spans="1:28" ht="14.4" x14ac:dyDescent="0.3">
      <c r="A114" s="35">
        <f t="shared" si="23"/>
        <v>22</v>
      </c>
      <c r="B114" s="44">
        <f>1/(1+Other_DCF!$F$8)^A114</f>
        <v>0.12284597357367227</v>
      </c>
      <c r="C114" s="36">
        <f>IF(A114&lt;(Other_DCF!$F$6+1),1,0)</f>
        <v>0</v>
      </c>
      <c r="D114" s="36">
        <f>IF(A114&lt;(Other_DCF!$F$11+1),1,0)</f>
        <v>0</v>
      </c>
      <c r="E114" s="36">
        <f>IF(A114&lt;(Other_DCF!$F$12+1),1,0)</f>
        <v>0</v>
      </c>
      <c r="F114" s="98">
        <f xml:space="preserve"> -Other_DCF!$F$32*D114</f>
        <v>0</v>
      </c>
      <c r="G114" s="124">
        <f>-F114*Other_DCF!$F$9</f>
        <v>0</v>
      </c>
      <c r="H114" s="124">
        <f>-Other_DCF!$F$28*C114</f>
        <v>0</v>
      </c>
      <c r="I114" s="98">
        <f t="shared" si="27"/>
        <v>-1.3944385310372391E-9</v>
      </c>
      <c r="J114" s="98">
        <f t="shared" si="24"/>
        <v>-1.499021420865032E-9</v>
      </c>
      <c r="K114" s="98">
        <f>-I114*Other_DCF!$F$7</f>
        <v>1.0458288982779293E-10</v>
      </c>
      <c r="L114" s="124">
        <f>-(K114*Other_DCF!$F$9)</f>
        <v>0</v>
      </c>
      <c r="M114" s="98">
        <f>-Other_DCF!$F$15*Other_DCF!$F$23*E114*(1+Other_DCF!$F$10)^A114</f>
        <v>0</v>
      </c>
      <c r="N114" s="98">
        <f>M114*Other_DCF!$F$9</f>
        <v>0</v>
      </c>
      <c r="O114" s="98">
        <f t="shared" si="28"/>
        <v>0</v>
      </c>
      <c r="P114" s="98">
        <f t="shared" si="29"/>
        <v>0</v>
      </c>
      <c r="Q114" s="124">
        <f t="shared" si="25"/>
        <v>0</v>
      </c>
      <c r="R114" s="98">
        <f>-E114*Other_DCF!$F$21*(1+Other_DCF!$F$17)^(Other_DCF!A114)</f>
        <v>0</v>
      </c>
      <c r="S114" s="98">
        <f>-R114*Other_DCF!$F$9</f>
        <v>0</v>
      </c>
      <c r="T114" s="124">
        <f t="shared" si="26"/>
        <v>0</v>
      </c>
      <c r="U114" s="124">
        <f t="shared" si="30"/>
        <v>0</v>
      </c>
      <c r="V114" s="68">
        <f t="shared" si="22"/>
        <v>0</v>
      </c>
      <c r="AA114" s="140"/>
      <c r="AB114" s="88"/>
    </row>
    <row r="115" spans="1:28" ht="14.4" x14ac:dyDescent="0.3">
      <c r="A115" s="35">
        <f t="shared" si="23"/>
        <v>23</v>
      </c>
      <c r="B115" s="44">
        <f>1/(1+Other_DCF!$F$8)^A115</f>
        <v>0.11167815779424752</v>
      </c>
      <c r="C115" s="36">
        <f>IF(A115&lt;(Other_DCF!$F$6+1),1,0)</f>
        <v>0</v>
      </c>
      <c r="D115" s="36">
        <f>IF(A115&lt;(Other_DCF!$F$11+1),1,0)</f>
        <v>0</v>
      </c>
      <c r="E115" s="36">
        <f>IF(A115&lt;(Other_DCF!$F$12+1),1,0)</f>
        <v>0</v>
      </c>
      <c r="F115" s="98">
        <f xml:space="preserve"> -Other_DCF!$F$32*D115</f>
        <v>0</v>
      </c>
      <c r="G115" s="124">
        <f>-F115*Other_DCF!$F$9</f>
        <v>0</v>
      </c>
      <c r="H115" s="124">
        <f>-Other_DCF!$F$28*C115</f>
        <v>0</v>
      </c>
      <c r="I115" s="98">
        <f t="shared" si="27"/>
        <v>-1.499021420865032E-9</v>
      </c>
      <c r="J115" s="98">
        <f t="shared" si="24"/>
        <v>-1.6114480274299093E-9</v>
      </c>
      <c r="K115" s="98">
        <f>-I115*Other_DCF!$F$7</f>
        <v>1.1242660656487739E-10</v>
      </c>
      <c r="L115" s="124">
        <f>-(K115*Other_DCF!$F$9)</f>
        <v>0</v>
      </c>
      <c r="M115" s="98">
        <f>-Other_DCF!$F$15*Other_DCF!$F$23*E115*(1+Other_DCF!$F$10)^A115</f>
        <v>0</v>
      </c>
      <c r="N115" s="98">
        <f>M115*Other_DCF!$F$9</f>
        <v>0</v>
      </c>
      <c r="O115" s="98">
        <f t="shared" si="28"/>
        <v>0</v>
      </c>
      <c r="P115" s="98">
        <f t="shared" si="29"/>
        <v>0</v>
      </c>
      <c r="Q115" s="124">
        <f t="shared" si="25"/>
        <v>0</v>
      </c>
      <c r="R115" s="98">
        <f>-E115*Other_DCF!$F$21*(1+Other_DCF!$F$17)^(Other_DCF!A115)</f>
        <v>0</v>
      </c>
      <c r="S115" s="98">
        <f>-R115*Other_DCF!$F$9</f>
        <v>0</v>
      </c>
      <c r="T115" s="124">
        <f t="shared" si="26"/>
        <v>0</v>
      </c>
      <c r="U115" s="124">
        <f t="shared" si="30"/>
        <v>0</v>
      </c>
      <c r="V115" s="68">
        <f t="shared" si="22"/>
        <v>0</v>
      </c>
      <c r="AA115" s="140"/>
      <c r="AB115" s="88"/>
    </row>
    <row r="116" spans="1:28" ht="14.4" x14ac:dyDescent="0.3">
      <c r="A116" s="35">
        <f t="shared" si="23"/>
        <v>24</v>
      </c>
      <c r="B116" s="44">
        <f>1/(1+Other_DCF!$F$8)^A116</f>
        <v>0.10152559799477048</v>
      </c>
      <c r="C116" s="36">
        <f>IF(A116&lt;(Other_DCF!$F$6+1),1,0)</f>
        <v>0</v>
      </c>
      <c r="D116" s="36">
        <f>IF(A116&lt;(Other_DCF!$F$11+1),1,0)</f>
        <v>0</v>
      </c>
      <c r="E116" s="36">
        <f>IF(A116&lt;(Other_DCF!$F$12+1),1,0)</f>
        <v>0</v>
      </c>
      <c r="F116" s="98">
        <f xml:space="preserve"> -Other_DCF!$F$32*D116</f>
        <v>0</v>
      </c>
      <c r="G116" s="124">
        <f>-F116*Other_DCF!$F$9</f>
        <v>0</v>
      </c>
      <c r="H116" s="124">
        <f>-Other_DCF!$F$28*C116</f>
        <v>0</v>
      </c>
      <c r="I116" s="98">
        <f t="shared" si="27"/>
        <v>-1.6114480274299093E-9</v>
      </c>
      <c r="J116" s="98">
        <f t="shared" si="24"/>
        <v>-1.7323066294871524E-9</v>
      </c>
      <c r="K116" s="98">
        <f>-I116*Other_DCF!$F$7</f>
        <v>1.2085860205724319E-10</v>
      </c>
      <c r="L116" s="124">
        <f>-(K116*Other_DCF!$F$9)</f>
        <v>0</v>
      </c>
      <c r="M116" s="98">
        <f>-Other_DCF!$F$15*Other_DCF!$F$23*E116*(1+Other_DCF!$F$10)^A116</f>
        <v>0</v>
      </c>
      <c r="N116" s="98">
        <f>M116*Other_DCF!$F$9</f>
        <v>0</v>
      </c>
      <c r="O116" s="98">
        <f t="shared" si="28"/>
        <v>0</v>
      </c>
      <c r="P116" s="98">
        <f t="shared" si="29"/>
        <v>0</v>
      </c>
      <c r="Q116" s="124">
        <f t="shared" si="25"/>
        <v>0</v>
      </c>
      <c r="R116" s="98">
        <f>-E116*Other_DCF!$F$21*(1+Other_DCF!$F$17)^(Other_DCF!A116)</f>
        <v>0</v>
      </c>
      <c r="S116" s="98">
        <f>-R116*Other_DCF!$F$9</f>
        <v>0</v>
      </c>
      <c r="T116" s="124">
        <f t="shared" si="26"/>
        <v>0</v>
      </c>
      <c r="U116" s="124">
        <f t="shared" si="30"/>
        <v>0</v>
      </c>
      <c r="V116" s="68">
        <f t="shared" si="22"/>
        <v>0</v>
      </c>
      <c r="AA116" s="140"/>
      <c r="AB116" s="88"/>
    </row>
    <row r="117" spans="1:28" ht="14.4" x14ac:dyDescent="0.3">
      <c r="A117" s="35">
        <f t="shared" si="23"/>
        <v>25</v>
      </c>
      <c r="B117" s="44">
        <f>1/(1+Other_DCF!$F$8)^A117</f>
        <v>9.2295998177064048E-2</v>
      </c>
      <c r="C117" s="36">
        <f>IF(A117&lt;(Other_DCF!$F$6+1),1,0)</f>
        <v>0</v>
      </c>
      <c r="D117" s="36">
        <f>IF(A117&lt;(Other_DCF!$F$11+1),1,0)</f>
        <v>0</v>
      </c>
      <c r="E117" s="36">
        <f>IF(A117&lt;(Other_DCF!$F$12+1),1,0)</f>
        <v>0</v>
      </c>
      <c r="F117" s="98">
        <f xml:space="preserve"> -Other_DCF!$F$32*D117</f>
        <v>0</v>
      </c>
      <c r="G117" s="124">
        <f>-F117*Other_DCF!$F$9</f>
        <v>0</v>
      </c>
      <c r="H117" s="124">
        <f>-Other_DCF!$F$28*C117</f>
        <v>0</v>
      </c>
      <c r="I117" s="98">
        <f t="shared" si="27"/>
        <v>-1.7323066294871524E-9</v>
      </c>
      <c r="J117" s="98">
        <f t="shared" si="24"/>
        <v>-1.8622296266986888E-9</v>
      </c>
      <c r="K117" s="98">
        <f>-I117*Other_DCF!$F$7</f>
        <v>1.2992299721153642E-10</v>
      </c>
      <c r="L117" s="124">
        <f>-(K117*Other_DCF!$F$9)</f>
        <v>0</v>
      </c>
      <c r="M117" s="98">
        <f>-Other_DCF!$F$15*Other_DCF!$F$23*E117*(1+Other_DCF!$F$10)^A117</f>
        <v>0</v>
      </c>
      <c r="N117" s="98">
        <f>M117*Other_DCF!$F$9</f>
        <v>0</v>
      </c>
      <c r="O117" s="98">
        <f t="shared" si="28"/>
        <v>0</v>
      </c>
      <c r="P117" s="98">
        <f t="shared" si="29"/>
        <v>0</v>
      </c>
      <c r="Q117" s="124">
        <f t="shared" si="25"/>
        <v>0</v>
      </c>
      <c r="R117" s="98">
        <f>-E117*Other_DCF!$F$21*(1+Other_DCF!$F$17)^(Other_DCF!A117)</f>
        <v>0</v>
      </c>
      <c r="S117" s="98">
        <f>-R117*Other_DCF!$F$9</f>
        <v>0</v>
      </c>
      <c r="T117" s="124">
        <f t="shared" si="26"/>
        <v>0</v>
      </c>
      <c r="U117" s="124">
        <f t="shared" si="30"/>
        <v>0</v>
      </c>
      <c r="V117" s="68">
        <f t="shared" si="22"/>
        <v>0</v>
      </c>
      <c r="AA117" s="140"/>
      <c r="AB117" s="88"/>
    </row>
    <row r="118" spans="1:28" ht="14.4" x14ac:dyDescent="0.3">
      <c r="A118" s="35">
        <f t="shared" si="23"/>
        <v>26</v>
      </c>
      <c r="B118" s="44">
        <f>1/(1+Other_DCF!$F$8)^A118</f>
        <v>8.3905452888240042E-2</v>
      </c>
      <c r="C118" s="36">
        <f>IF(A118&lt;(Other_DCF!$F$6+1),1,0)</f>
        <v>0</v>
      </c>
      <c r="D118" s="36">
        <f>IF(A118&lt;(Other_DCF!$F$11+1),1,0)</f>
        <v>0</v>
      </c>
      <c r="E118" s="36">
        <f>IF(A118&lt;(Other_DCF!$F$12+1),1,0)</f>
        <v>0</v>
      </c>
      <c r="F118" s="98">
        <f xml:space="preserve"> -Other_DCF!$F$32*D118</f>
        <v>0</v>
      </c>
      <c r="G118" s="124">
        <f>-F118*Other_DCF!$F$9</f>
        <v>0</v>
      </c>
      <c r="H118" s="124">
        <f>-Other_DCF!$F$28*C118</f>
        <v>0</v>
      </c>
      <c r="I118" s="98">
        <f t="shared" si="27"/>
        <v>-1.8622296266986888E-9</v>
      </c>
      <c r="J118" s="98">
        <f t="shared" si="24"/>
        <v>-2.0018968487010904E-9</v>
      </c>
      <c r="K118" s="98">
        <f>-I118*Other_DCF!$F$7</f>
        <v>1.3966722200240165E-10</v>
      </c>
      <c r="L118" s="124">
        <f>-(K118*Other_DCF!$F$9)</f>
        <v>0</v>
      </c>
      <c r="M118" s="98">
        <f>-Other_DCF!$F$15*Other_DCF!$F$23*E118*(1+Other_DCF!$F$10)^A118</f>
        <v>0</v>
      </c>
      <c r="N118" s="98">
        <f>M118*Other_DCF!$F$9</f>
        <v>0</v>
      </c>
      <c r="O118" s="98">
        <f t="shared" si="28"/>
        <v>0</v>
      </c>
      <c r="P118" s="98">
        <f t="shared" si="29"/>
        <v>0</v>
      </c>
      <c r="Q118" s="124">
        <f t="shared" si="25"/>
        <v>0</v>
      </c>
      <c r="R118" s="98">
        <f>-E118*Other_DCF!$F$21*(1+Other_DCF!$F$17)^(Other_DCF!A118)</f>
        <v>0</v>
      </c>
      <c r="S118" s="98">
        <f>-R118*Other_DCF!$F$9</f>
        <v>0</v>
      </c>
      <c r="T118" s="124">
        <f t="shared" si="26"/>
        <v>0</v>
      </c>
      <c r="U118" s="124">
        <f t="shared" si="30"/>
        <v>0</v>
      </c>
      <c r="V118" s="68">
        <f t="shared" si="22"/>
        <v>0</v>
      </c>
      <c r="AA118" s="140"/>
      <c r="AB118" s="88"/>
    </row>
    <row r="119" spans="1:28" ht="14.4" x14ac:dyDescent="0.3">
      <c r="A119" s="35">
        <f t="shared" si="23"/>
        <v>27</v>
      </c>
      <c r="B119" s="44">
        <f>1/(1+Other_DCF!$F$8)^A119</f>
        <v>7.6277684443854576E-2</v>
      </c>
      <c r="C119" s="36">
        <f>IF(A119&lt;(Other_DCF!$F$6+1),1,0)</f>
        <v>0</v>
      </c>
      <c r="D119" s="36">
        <f>IF(A119&lt;(Other_DCF!$F$11+1),1,0)</f>
        <v>0</v>
      </c>
      <c r="E119" s="36">
        <f>IF(A119&lt;(Other_DCF!$F$12+1),1,0)</f>
        <v>0</v>
      </c>
      <c r="F119" s="98">
        <f xml:space="preserve"> -Other_DCF!$F$32*D119</f>
        <v>0</v>
      </c>
      <c r="G119" s="124">
        <f>-F119*Other_DCF!$F$9</f>
        <v>0</v>
      </c>
      <c r="H119" s="124">
        <f>-Other_DCF!$F$28*C119</f>
        <v>0</v>
      </c>
      <c r="I119" s="98">
        <f t="shared" si="27"/>
        <v>-2.0018968487010904E-9</v>
      </c>
      <c r="J119" s="98">
        <f t="shared" si="24"/>
        <v>-2.152039112353672E-9</v>
      </c>
      <c r="K119" s="98">
        <f>-I119*Other_DCF!$F$7</f>
        <v>1.5014226365258176E-10</v>
      </c>
      <c r="L119" s="124">
        <f>-(K119*Other_DCF!$F$9)</f>
        <v>0</v>
      </c>
      <c r="M119" s="98">
        <f>-Other_DCF!$F$15*Other_DCF!$F$23*E119*(1+Other_DCF!$F$10)^A119</f>
        <v>0</v>
      </c>
      <c r="N119" s="98">
        <f>M119*Other_DCF!$F$9</f>
        <v>0</v>
      </c>
      <c r="O119" s="98">
        <f t="shared" si="28"/>
        <v>0</v>
      </c>
      <c r="P119" s="98">
        <f t="shared" si="29"/>
        <v>0</v>
      </c>
      <c r="Q119" s="124">
        <f t="shared" si="25"/>
        <v>0</v>
      </c>
      <c r="R119" s="98">
        <f>-E119*Other_DCF!$F$21*(1+Other_DCF!$F$17)^(Other_DCF!A119)</f>
        <v>0</v>
      </c>
      <c r="S119" s="98">
        <f>-R119*Other_DCF!$F$9</f>
        <v>0</v>
      </c>
      <c r="T119" s="124">
        <f t="shared" si="26"/>
        <v>0</v>
      </c>
      <c r="U119" s="124">
        <f t="shared" si="30"/>
        <v>0</v>
      </c>
      <c r="V119" s="68">
        <f t="shared" si="22"/>
        <v>0</v>
      </c>
      <c r="AA119" s="140"/>
      <c r="AB119" s="88"/>
    </row>
    <row r="120" spans="1:28" ht="14.4" x14ac:dyDescent="0.3">
      <c r="A120" s="35">
        <f t="shared" si="23"/>
        <v>28</v>
      </c>
      <c r="B120" s="44">
        <f>1/(1+Other_DCF!$F$8)^A120</f>
        <v>6.9343349494413245E-2</v>
      </c>
      <c r="C120" s="36">
        <f>IF(A120&lt;(Other_DCF!$F$6+1),1,0)</f>
        <v>0</v>
      </c>
      <c r="D120" s="36">
        <f>IF(A120&lt;(Other_DCF!$F$11+1),1,0)</f>
        <v>0</v>
      </c>
      <c r="E120" s="36">
        <f>IF(A120&lt;(Other_DCF!$F$12+1),1,0)</f>
        <v>0</v>
      </c>
      <c r="F120" s="98">
        <f xml:space="preserve"> -Other_DCF!$F$32*D120</f>
        <v>0</v>
      </c>
      <c r="G120" s="124">
        <f>-F120*Other_DCF!$F$9</f>
        <v>0</v>
      </c>
      <c r="H120" s="124">
        <f>-Other_DCF!$F$28*C120</f>
        <v>0</v>
      </c>
      <c r="I120" s="98">
        <f t="shared" si="27"/>
        <v>-2.152039112353672E-9</v>
      </c>
      <c r="J120" s="98">
        <f t="shared" si="24"/>
        <v>-2.3134420457801973E-9</v>
      </c>
      <c r="K120" s="98">
        <f>-I120*Other_DCF!$F$7</f>
        <v>1.6140293342652541E-10</v>
      </c>
      <c r="L120" s="124">
        <f>-(K120*Other_DCF!$F$9)</f>
        <v>0</v>
      </c>
      <c r="M120" s="98">
        <f>-Other_DCF!$F$15*Other_DCF!$F$23*E120*(1+Other_DCF!$F$10)^A120</f>
        <v>0</v>
      </c>
      <c r="N120" s="98">
        <f>M120*Other_DCF!$F$9</f>
        <v>0</v>
      </c>
      <c r="O120" s="98">
        <f t="shared" si="28"/>
        <v>0</v>
      </c>
      <c r="P120" s="98">
        <f t="shared" si="29"/>
        <v>0</v>
      </c>
      <c r="Q120" s="124">
        <f t="shared" si="25"/>
        <v>0</v>
      </c>
      <c r="R120" s="98">
        <f>-E120*Other_DCF!$F$21*(1+Other_DCF!$F$17)^(Other_DCF!A120)</f>
        <v>0</v>
      </c>
      <c r="S120" s="98">
        <f>-R120*Other_DCF!$F$9</f>
        <v>0</v>
      </c>
      <c r="T120" s="124">
        <f t="shared" si="26"/>
        <v>0</v>
      </c>
      <c r="U120" s="124">
        <f t="shared" si="30"/>
        <v>0</v>
      </c>
      <c r="V120" s="68">
        <f t="shared" si="22"/>
        <v>0</v>
      </c>
      <c r="AA120" s="140"/>
      <c r="AB120" s="88"/>
    </row>
    <row r="121" spans="1:28" ht="14.4" x14ac:dyDescent="0.3">
      <c r="A121" s="35">
        <f t="shared" si="23"/>
        <v>29</v>
      </c>
      <c r="B121" s="44">
        <f>1/(1+Other_DCF!$F$8)^A121</f>
        <v>6.3039408631284766E-2</v>
      </c>
      <c r="C121" s="36">
        <f>IF(A121&lt;(Other_DCF!$F$6+1),1,0)</f>
        <v>0</v>
      </c>
      <c r="D121" s="36">
        <f>IF(A121&lt;(Other_DCF!$F$11+1),1,0)</f>
        <v>0</v>
      </c>
      <c r="E121" s="36">
        <f>IF(A121&lt;(Other_DCF!$F$12+1),1,0)</f>
        <v>0</v>
      </c>
      <c r="F121" s="98">
        <f xml:space="preserve"> -Other_DCF!$F$32*D121</f>
        <v>0</v>
      </c>
      <c r="G121" s="124">
        <f>-F121*Other_DCF!$F$9</f>
        <v>0</v>
      </c>
      <c r="H121" s="124">
        <f>-Other_DCF!$F$28*C121</f>
        <v>0</v>
      </c>
      <c r="I121" s="98">
        <f t="shared" si="27"/>
        <v>-2.3134420457801973E-9</v>
      </c>
      <c r="J121" s="98">
        <f t="shared" si="24"/>
        <v>-2.4869501992137119E-9</v>
      </c>
      <c r="K121" s="98">
        <f>-I121*Other_DCF!$F$7</f>
        <v>1.735081534335148E-10</v>
      </c>
      <c r="L121" s="124">
        <f>-(K121*Other_DCF!$F$9)</f>
        <v>0</v>
      </c>
      <c r="M121" s="98">
        <f>-Other_DCF!$F$15*Other_DCF!$F$23*E121*(1+Other_DCF!$F$10)^A121</f>
        <v>0</v>
      </c>
      <c r="N121" s="98">
        <f>M121*Other_DCF!$F$9</f>
        <v>0</v>
      </c>
      <c r="O121" s="98">
        <f t="shared" si="28"/>
        <v>0</v>
      </c>
      <c r="P121" s="98">
        <f t="shared" si="29"/>
        <v>0</v>
      </c>
      <c r="Q121" s="124">
        <f t="shared" si="25"/>
        <v>0</v>
      </c>
      <c r="R121" s="98">
        <f>-E121*Other_DCF!$F$21*(1+Other_DCF!$F$17)^(Other_DCF!A121)</f>
        <v>0</v>
      </c>
      <c r="S121" s="98">
        <f>-R121*Other_DCF!$F$9</f>
        <v>0</v>
      </c>
      <c r="T121" s="124">
        <f t="shared" si="26"/>
        <v>0</v>
      </c>
      <c r="U121" s="124">
        <f t="shared" si="30"/>
        <v>0</v>
      </c>
      <c r="V121" s="68">
        <f t="shared" si="22"/>
        <v>0</v>
      </c>
      <c r="AA121" s="140"/>
      <c r="AB121" s="88"/>
    </row>
    <row r="122" spans="1:28" ht="14.4" x14ac:dyDescent="0.3">
      <c r="A122" s="35">
        <f t="shared" si="23"/>
        <v>30</v>
      </c>
      <c r="B122" s="44">
        <f>1/(1+Other_DCF!$F$8)^A122</f>
        <v>5.7308553301167964E-2</v>
      </c>
      <c r="C122" s="36">
        <f>IF(A122&lt;(Other_DCF!$F$6+1),1,0)</f>
        <v>0</v>
      </c>
      <c r="D122" s="36">
        <f>IF(A122&lt;(Other_DCF!$F$11+1),1,0)</f>
        <v>0</v>
      </c>
      <c r="E122" s="36">
        <f>IF(A122&lt;(Other_DCF!$F$12+1),1,0)</f>
        <v>0</v>
      </c>
      <c r="F122" s="98">
        <f xml:space="preserve"> -Other_DCF!$F$32*D122</f>
        <v>0</v>
      </c>
      <c r="G122" s="124">
        <f>-F122*Other_DCF!$F$9</f>
        <v>0</v>
      </c>
      <c r="H122" s="124">
        <f>-Other_DCF!$F$28*C122</f>
        <v>0</v>
      </c>
      <c r="I122" s="98">
        <f t="shared" si="27"/>
        <v>-2.4869501992137119E-9</v>
      </c>
      <c r="J122" s="98">
        <f t="shared" si="24"/>
        <v>-2.6734714641547402E-9</v>
      </c>
      <c r="K122" s="98">
        <f>-I122*Other_DCF!$F$7</f>
        <v>1.865212649410284E-10</v>
      </c>
      <c r="L122" s="124">
        <f>-(K122*Other_DCF!$F$9)</f>
        <v>0</v>
      </c>
      <c r="M122" s="98">
        <f>-Other_DCF!$F$15*Other_DCF!$F$23*E122*(1+Other_DCF!$F$10)^A122</f>
        <v>0</v>
      </c>
      <c r="N122" s="98">
        <f>M122*Other_DCF!$F$9</f>
        <v>0</v>
      </c>
      <c r="O122" s="98">
        <f t="shared" si="28"/>
        <v>0</v>
      </c>
      <c r="P122" s="98">
        <f t="shared" si="29"/>
        <v>0</v>
      </c>
      <c r="Q122" s="124">
        <f t="shared" si="25"/>
        <v>0</v>
      </c>
      <c r="R122" s="98">
        <f>-E122*Other_DCF!$F$21*(1+Other_DCF!$F$17)^(Other_DCF!A122)</f>
        <v>0</v>
      </c>
      <c r="S122" s="98">
        <f>-R122*Other_DCF!$F$9</f>
        <v>0</v>
      </c>
      <c r="T122" s="124">
        <f t="shared" si="26"/>
        <v>0</v>
      </c>
      <c r="U122" s="124">
        <f t="shared" si="30"/>
        <v>0</v>
      </c>
      <c r="V122" s="68">
        <f t="shared" si="22"/>
        <v>0</v>
      </c>
      <c r="AA122" s="140"/>
      <c r="AB122" s="88"/>
    </row>
    <row r="123" spans="1:28" ht="14.4" x14ac:dyDescent="0.3">
      <c r="A123" s="35">
        <f t="shared" si="23"/>
        <v>31</v>
      </c>
      <c r="B123" s="44">
        <f>1/(1+Other_DCF!$F$8)^A123</f>
        <v>5.2098684819243603E-2</v>
      </c>
      <c r="C123" s="36">
        <f>IF(A123&lt;(Other_DCF!$F$6+1),1,0)</f>
        <v>0</v>
      </c>
      <c r="D123" s="36">
        <f>IF(A123&lt;(Other_DCF!$F$11+1),1,0)</f>
        <v>0</v>
      </c>
      <c r="E123" s="36">
        <f>IF(A123&lt;(Other_DCF!$F$12+1),1,0)</f>
        <v>0</v>
      </c>
      <c r="F123" s="98">
        <f xml:space="preserve"> -Other_DCF!$F$32*D123</f>
        <v>0</v>
      </c>
      <c r="G123" s="124">
        <f>-F123*Other_DCF!$F$9</f>
        <v>0</v>
      </c>
      <c r="H123" s="124">
        <f>-Other_DCF!$F$28*C123</f>
        <v>0</v>
      </c>
      <c r="I123" s="98">
        <f t="shared" si="27"/>
        <v>-2.6734714641547402E-9</v>
      </c>
      <c r="J123" s="98">
        <f t="shared" si="24"/>
        <v>-2.8739818239663458E-9</v>
      </c>
      <c r="K123" s="98">
        <f>-I123*Other_DCF!$F$7</f>
        <v>2.0051035981160552E-10</v>
      </c>
      <c r="L123" s="124">
        <f>-(K123*Other_DCF!$F$9)</f>
        <v>0</v>
      </c>
      <c r="M123" s="98">
        <f>-Other_DCF!$F$15*Other_DCF!$F$23*E123*(1+Other_DCF!$F$10)^A123</f>
        <v>0</v>
      </c>
      <c r="N123" s="98">
        <f>M123*Other_DCF!$F$9</f>
        <v>0</v>
      </c>
      <c r="O123" s="98">
        <f t="shared" si="28"/>
        <v>0</v>
      </c>
      <c r="P123" s="98">
        <f t="shared" si="29"/>
        <v>0</v>
      </c>
      <c r="Q123" s="124">
        <f t="shared" si="25"/>
        <v>0</v>
      </c>
      <c r="R123" s="98">
        <f>-E123*Other_DCF!$F$21*(1+Other_DCF!$F$17)^(Other_DCF!A123)</f>
        <v>0</v>
      </c>
      <c r="S123" s="98">
        <f>-R123*Other_DCF!$F$9</f>
        <v>0</v>
      </c>
      <c r="T123" s="124">
        <f t="shared" si="26"/>
        <v>0</v>
      </c>
      <c r="U123" s="124">
        <f t="shared" si="30"/>
        <v>0</v>
      </c>
      <c r="V123" s="68">
        <f t="shared" si="22"/>
        <v>0</v>
      </c>
      <c r="AA123" s="140"/>
      <c r="AB123" s="88"/>
    </row>
    <row r="124" spans="1:28" ht="14.4" x14ac:dyDescent="0.3">
      <c r="A124" s="35">
        <f t="shared" si="23"/>
        <v>32</v>
      </c>
      <c r="B124" s="44">
        <f>1/(1+Other_DCF!$F$8)^A124</f>
        <v>4.7362440744766907E-2</v>
      </c>
      <c r="C124" s="36">
        <f>IF(A124&lt;(Other_DCF!$F$6+1),1,0)</f>
        <v>0</v>
      </c>
      <c r="D124" s="36">
        <f>IF(A124&lt;(Other_DCF!$F$11+1),1,0)</f>
        <v>0</v>
      </c>
      <c r="E124" s="36">
        <f>IF(A124&lt;(Other_DCF!$F$12+1),1,0)</f>
        <v>0</v>
      </c>
      <c r="F124" s="98">
        <f xml:space="preserve"> -Other_DCF!$F$32*D124</f>
        <v>0</v>
      </c>
      <c r="G124" s="124">
        <f>-F124*Other_DCF!$F$9</f>
        <v>0</v>
      </c>
      <c r="H124" s="124">
        <f>-Other_DCF!$F$28*C124</f>
        <v>0</v>
      </c>
      <c r="I124" s="98">
        <f t="shared" si="27"/>
        <v>-2.8739818239663458E-9</v>
      </c>
      <c r="J124" s="98">
        <f t="shared" si="24"/>
        <v>-3.0895304607638216E-9</v>
      </c>
      <c r="K124" s="98">
        <f>-I124*Other_DCF!$F$7</f>
        <v>2.1554863679747592E-10</v>
      </c>
      <c r="L124" s="124">
        <f>-(K124*Other_DCF!$F$9)</f>
        <v>0</v>
      </c>
      <c r="M124" s="98">
        <f>-Other_DCF!$F$15*Other_DCF!$F$23*E124*(1+Other_DCF!$F$10)^A124</f>
        <v>0</v>
      </c>
      <c r="N124" s="98">
        <f>M124*Other_DCF!$F$9</f>
        <v>0</v>
      </c>
      <c r="O124" s="98">
        <f t="shared" si="28"/>
        <v>0</v>
      </c>
      <c r="P124" s="98">
        <f t="shared" si="29"/>
        <v>0</v>
      </c>
      <c r="Q124" s="124">
        <f t="shared" si="25"/>
        <v>0</v>
      </c>
      <c r="R124" s="98">
        <f>-E124*Other_DCF!$F$21*(1+Other_DCF!$F$17)^(Other_DCF!A124)</f>
        <v>0</v>
      </c>
      <c r="S124" s="98">
        <f>-R124*Other_DCF!$F$9</f>
        <v>0</v>
      </c>
      <c r="T124" s="124">
        <f t="shared" si="26"/>
        <v>0</v>
      </c>
      <c r="U124" s="124">
        <f t="shared" si="30"/>
        <v>0</v>
      </c>
      <c r="V124" s="68">
        <f t="shared" si="22"/>
        <v>0</v>
      </c>
      <c r="AA124" s="140"/>
      <c r="AB124" s="88"/>
    </row>
    <row r="125" spans="1:28" ht="14.4" x14ac:dyDescent="0.3">
      <c r="A125" s="35">
        <f t="shared" si="23"/>
        <v>33</v>
      </c>
      <c r="B125" s="44">
        <f>1/(1+Other_DCF!$F$8)^A125</f>
        <v>4.3056764313424457E-2</v>
      </c>
      <c r="C125" s="36">
        <f>IF(A125&lt;(Other_DCF!$F$6+1),1,0)</f>
        <v>0</v>
      </c>
      <c r="D125" s="36">
        <f>IF(A125&lt;(Other_DCF!$F$11+1),1,0)</f>
        <v>0</v>
      </c>
      <c r="E125" s="36">
        <f>IF(A125&lt;(Other_DCF!$F$12+1),1,0)</f>
        <v>0</v>
      </c>
      <c r="F125" s="98">
        <f xml:space="preserve"> -Other_DCF!$F$32*D125</f>
        <v>0</v>
      </c>
      <c r="G125" s="124">
        <f>-F125*Other_DCF!$F$9</f>
        <v>0</v>
      </c>
      <c r="H125" s="124">
        <f>-Other_DCF!$F$28*C125</f>
        <v>0</v>
      </c>
      <c r="I125" s="98">
        <f t="shared" si="27"/>
        <v>-3.0895304607638216E-9</v>
      </c>
      <c r="J125" s="98">
        <f t="shared" si="24"/>
        <v>-3.3212452453211083E-9</v>
      </c>
      <c r="K125" s="98">
        <f>-I125*Other_DCF!$F$7</f>
        <v>2.3171478455728661E-10</v>
      </c>
      <c r="L125" s="124">
        <f>-(K125*Other_DCF!$F$9)</f>
        <v>0</v>
      </c>
      <c r="M125" s="98">
        <f>-Other_DCF!$F$15*Other_DCF!$F$23*E125*(1+Other_DCF!$F$10)^A125</f>
        <v>0</v>
      </c>
      <c r="N125" s="98">
        <f>M125*Other_DCF!$F$9</f>
        <v>0</v>
      </c>
      <c r="O125" s="98">
        <f t="shared" si="28"/>
        <v>0</v>
      </c>
      <c r="P125" s="98">
        <f t="shared" si="29"/>
        <v>0</v>
      </c>
      <c r="Q125" s="124">
        <f t="shared" si="25"/>
        <v>0</v>
      </c>
      <c r="R125" s="98">
        <f>-E125*Other_DCF!$F$21*(1+Other_DCF!$F$17)^(Other_DCF!A125)</f>
        <v>0</v>
      </c>
      <c r="S125" s="98">
        <f>-R125*Other_DCF!$F$9</f>
        <v>0</v>
      </c>
      <c r="T125" s="124">
        <f t="shared" si="26"/>
        <v>0</v>
      </c>
      <c r="U125" s="124">
        <f t="shared" si="30"/>
        <v>0</v>
      </c>
      <c r="V125" s="68">
        <f t="shared" si="22"/>
        <v>0</v>
      </c>
      <c r="AA125" s="140"/>
      <c r="AB125" s="88"/>
    </row>
    <row r="126" spans="1:28" ht="14.4" x14ac:dyDescent="0.3">
      <c r="A126" s="35">
        <f t="shared" si="23"/>
        <v>34</v>
      </c>
      <c r="B126" s="44">
        <f>1/(1+Other_DCF!$F$8)^A126</f>
        <v>3.9142513012204054E-2</v>
      </c>
      <c r="C126" s="36">
        <f>IF(A126&lt;(Other_DCF!$F$6+1),1,0)</f>
        <v>0</v>
      </c>
      <c r="D126" s="36">
        <f>IF(A126&lt;(Other_DCF!$F$11+1),1,0)</f>
        <v>0</v>
      </c>
      <c r="E126" s="36">
        <f>IF(A126&lt;(Other_DCF!$F$12+1),1,0)</f>
        <v>0</v>
      </c>
      <c r="F126" s="98">
        <f xml:space="preserve"> -Other_DCF!$F$32*D126</f>
        <v>0</v>
      </c>
      <c r="G126" s="124">
        <f>-F126*Other_DCF!$F$9</f>
        <v>0</v>
      </c>
      <c r="H126" s="124">
        <f>-Other_DCF!$F$28*C126</f>
        <v>0</v>
      </c>
      <c r="I126" s="98">
        <f t="shared" si="27"/>
        <v>-3.3212452453211083E-9</v>
      </c>
      <c r="J126" s="98">
        <f t="shared" si="24"/>
        <v>-3.5703386387201916E-9</v>
      </c>
      <c r="K126" s="98">
        <f>-I126*Other_DCF!$F$7</f>
        <v>2.4909339339908311E-10</v>
      </c>
      <c r="L126" s="124">
        <f>-(K126*Other_DCF!$F$9)</f>
        <v>0</v>
      </c>
      <c r="M126" s="98">
        <f>-Other_DCF!$F$15*Other_DCF!$F$23*E126*(1+Other_DCF!$F$10)^A126</f>
        <v>0</v>
      </c>
      <c r="N126" s="98">
        <f>M126*Other_DCF!$F$9</f>
        <v>0</v>
      </c>
      <c r="O126" s="98">
        <f t="shared" si="28"/>
        <v>0</v>
      </c>
      <c r="P126" s="98">
        <f t="shared" si="29"/>
        <v>0</v>
      </c>
      <c r="Q126" s="124">
        <f t="shared" si="25"/>
        <v>0</v>
      </c>
      <c r="R126" s="98">
        <f>-E126*Other_DCF!$F$21*(1+Other_DCF!$F$17)^(Other_DCF!A126)</f>
        <v>0</v>
      </c>
      <c r="S126" s="98">
        <f>-R126*Other_DCF!$F$9</f>
        <v>0</v>
      </c>
      <c r="T126" s="124">
        <f t="shared" si="26"/>
        <v>0</v>
      </c>
      <c r="U126" s="124">
        <f t="shared" si="30"/>
        <v>0</v>
      </c>
      <c r="V126" s="68">
        <f t="shared" si="22"/>
        <v>0</v>
      </c>
      <c r="AA126" s="140"/>
      <c r="AB126" s="88"/>
    </row>
    <row r="127" spans="1:28" ht="14.4" x14ac:dyDescent="0.3">
      <c r="A127" s="35">
        <f t="shared" si="23"/>
        <v>35</v>
      </c>
      <c r="B127" s="44">
        <f>1/(1+Other_DCF!$F$8)^A127</f>
        <v>3.5584102738367311E-2</v>
      </c>
      <c r="C127" s="36">
        <f>IF(A127&lt;(Other_DCF!$F$6+1),1,0)</f>
        <v>0</v>
      </c>
      <c r="D127" s="36">
        <f>IF(A127&lt;(Other_DCF!$F$11+1),1,0)</f>
        <v>0</v>
      </c>
      <c r="E127" s="36">
        <f>IF(A127&lt;(Other_DCF!$F$12+1),1,0)</f>
        <v>0</v>
      </c>
      <c r="F127" s="98">
        <f xml:space="preserve"> -Other_DCF!$F$32*D127</f>
        <v>0</v>
      </c>
      <c r="G127" s="124">
        <f>-F127*Other_DCF!$F$9</f>
        <v>0</v>
      </c>
      <c r="H127" s="124">
        <f>-Other_DCF!$F$28*C127</f>
        <v>0</v>
      </c>
      <c r="I127" s="98">
        <f t="shared" si="27"/>
        <v>-3.5703386387201916E-9</v>
      </c>
      <c r="J127" s="98">
        <f t="shared" si="24"/>
        <v>-3.8381140366242059E-9</v>
      </c>
      <c r="K127" s="98">
        <f>-I127*Other_DCF!$F$7</f>
        <v>2.6777539790401435E-10</v>
      </c>
      <c r="L127" s="124">
        <f>-(K127*Other_DCF!$F$9)</f>
        <v>0</v>
      </c>
      <c r="M127" s="98">
        <f>-Other_DCF!$F$15*Other_DCF!$F$23*E127*(1+Other_DCF!$F$10)^A127</f>
        <v>0</v>
      </c>
      <c r="N127" s="98">
        <f>M127*Other_DCF!$F$9</f>
        <v>0</v>
      </c>
      <c r="O127" s="98">
        <f t="shared" si="28"/>
        <v>0</v>
      </c>
      <c r="P127" s="98">
        <f t="shared" si="29"/>
        <v>0</v>
      </c>
      <c r="Q127" s="124">
        <f t="shared" si="25"/>
        <v>0</v>
      </c>
      <c r="R127" s="98">
        <f>-E127*Other_DCF!$F$21*(1+Other_DCF!$F$17)^(Other_DCF!A127)</f>
        <v>0</v>
      </c>
      <c r="S127" s="98">
        <f>-R127*Other_DCF!$F$9</f>
        <v>0</v>
      </c>
      <c r="T127" s="124">
        <f t="shared" si="26"/>
        <v>0</v>
      </c>
      <c r="U127" s="124">
        <f t="shared" si="30"/>
        <v>0</v>
      </c>
      <c r="V127" s="68">
        <f t="shared" si="22"/>
        <v>0</v>
      </c>
      <c r="AA127" s="140"/>
      <c r="AB127" s="88"/>
    </row>
    <row r="128" spans="1:28" ht="14.4" x14ac:dyDescent="0.3">
      <c r="A128" s="35">
        <f t="shared" si="23"/>
        <v>36</v>
      </c>
      <c r="B128" s="44">
        <f>1/(1+Other_DCF!$F$8)^A128</f>
        <v>3.2349184307606652E-2</v>
      </c>
      <c r="C128" s="36">
        <f>IF(A128&lt;(Other_DCF!$F$6+1),1,0)</f>
        <v>0</v>
      </c>
      <c r="D128" s="36">
        <f>IF(A128&lt;(Other_DCF!$F$11+1),1,0)</f>
        <v>0</v>
      </c>
      <c r="E128" s="36">
        <f>IF(A128&lt;(Other_DCF!$F$12+1),1,0)</f>
        <v>0</v>
      </c>
      <c r="F128" s="98">
        <f xml:space="preserve"> -Other_DCF!$F$32*D128</f>
        <v>0</v>
      </c>
      <c r="G128" s="124">
        <f>-F128*Other_DCF!$F$9</f>
        <v>0</v>
      </c>
      <c r="H128" s="124">
        <f>-Other_DCF!$F$28*C128</f>
        <v>0</v>
      </c>
      <c r="I128" s="98">
        <f t="shared" si="27"/>
        <v>-3.8381140366242059E-9</v>
      </c>
      <c r="J128" s="98">
        <f t="shared" si="24"/>
        <v>-4.1259725893710215E-9</v>
      </c>
      <c r="K128" s="98">
        <f>-I128*Other_DCF!$F$7</f>
        <v>2.8785855274681543E-10</v>
      </c>
      <c r="L128" s="124">
        <f>-(K128*Other_DCF!$F$9)</f>
        <v>0</v>
      </c>
      <c r="M128" s="98">
        <f>-Other_DCF!$F$15*Other_DCF!$F$23*E128*(1+Other_DCF!$F$10)^A128</f>
        <v>0</v>
      </c>
      <c r="N128" s="98">
        <f>M128*Other_DCF!$F$9</f>
        <v>0</v>
      </c>
      <c r="O128" s="98">
        <f t="shared" si="28"/>
        <v>0</v>
      </c>
      <c r="P128" s="98">
        <f t="shared" si="29"/>
        <v>0</v>
      </c>
      <c r="Q128" s="124">
        <f t="shared" si="25"/>
        <v>0</v>
      </c>
      <c r="R128" s="98">
        <f>-E128*Other_DCF!$F$21*(1+Other_DCF!$F$17)^(Other_DCF!A128)</f>
        <v>0</v>
      </c>
      <c r="S128" s="98">
        <f>-R128*Other_DCF!$F$9</f>
        <v>0</v>
      </c>
      <c r="T128" s="124">
        <f t="shared" si="26"/>
        <v>0</v>
      </c>
      <c r="U128" s="124">
        <f t="shared" si="30"/>
        <v>0</v>
      </c>
      <c r="V128" s="68">
        <f t="shared" si="22"/>
        <v>0</v>
      </c>
      <c r="AA128" s="140"/>
      <c r="AB128" s="88"/>
    </row>
    <row r="129" spans="1:28" ht="14.4" x14ac:dyDescent="0.3">
      <c r="A129" s="35">
        <f t="shared" si="23"/>
        <v>37</v>
      </c>
      <c r="B129" s="44">
        <f>1/(1+Other_DCF!$F$8)^A129</f>
        <v>2.94083493705515E-2</v>
      </c>
      <c r="C129" s="36">
        <f>IF(A129&lt;(Other_DCF!$F$6+1),1,0)</f>
        <v>0</v>
      </c>
      <c r="D129" s="36">
        <f>IF(A129&lt;(Other_DCF!$F$11+1),1,0)</f>
        <v>0</v>
      </c>
      <c r="E129" s="36">
        <f>IF(A129&lt;(Other_DCF!$F$12+1),1,0)</f>
        <v>0</v>
      </c>
      <c r="F129" s="98">
        <f xml:space="preserve"> -Other_DCF!$F$32*D129</f>
        <v>0</v>
      </c>
      <c r="G129" s="124">
        <f>-F129*Other_DCF!$F$9</f>
        <v>0</v>
      </c>
      <c r="H129" s="124">
        <f>-Other_DCF!$F$28*C129</f>
        <v>0</v>
      </c>
      <c r="I129" s="98">
        <f t="shared" si="27"/>
        <v>-4.1259725893710215E-9</v>
      </c>
      <c r="J129" s="98">
        <f t="shared" si="24"/>
        <v>-4.435420533573848E-9</v>
      </c>
      <c r="K129" s="98">
        <f>-I129*Other_DCF!$F$7</f>
        <v>3.094479442028266E-10</v>
      </c>
      <c r="L129" s="124">
        <f>-(K129*Other_DCF!$F$9)</f>
        <v>0</v>
      </c>
      <c r="M129" s="98">
        <f>-Other_DCF!$F$15*Other_DCF!$F$23*E129*(1+Other_DCF!$F$10)^A129</f>
        <v>0</v>
      </c>
      <c r="N129" s="98">
        <f>M129*Other_DCF!$F$9</f>
        <v>0</v>
      </c>
      <c r="O129" s="98">
        <f t="shared" si="28"/>
        <v>0</v>
      </c>
      <c r="P129" s="98">
        <f t="shared" si="29"/>
        <v>0</v>
      </c>
      <c r="Q129" s="124">
        <f t="shared" si="25"/>
        <v>0</v>
      </c>
      <c r="R129" s="98">
        <f>-E129*Other_DCF!$F$21*(1+Other_DCF!$F$17)^(Other_DCF!A129)</f>
        <v>0</v>
      </c>
      <c r="S129" s="98">
        <f>-R129*Other_DCF!$F$9</f>
        <v>0</v>
      </c>
      <c r="T129" s="124">
        <f t="shared" si="26"/>
        <v>0</v>
      </c>
      <c r="U129" s="124">
        <f t="shared" si="30"/>
        <v>0</v>
      </c>
      <c r="V129" s="68">
        <f t="shared" si="22"/>
        <v>0</v>
      </c>
      <c r="AA129" s="140"/>
      <c r="AB129" s="88"/>
    </row>
    <row r="130" spans="1:28" ht="14.4" x14ac:dyDescent="0.3">
      <c r="A130" s="35">
        <f t="shared" si="23"/>
        <v>38</v>
      </c>
      <c r="B130" s="44">
        <f>1/(1+Other_DCF!$F$8)^A130</f>
        <v>2.6734863064137721E-2</v>
      </c>
      <c r="C130" s="36">
        <f>IF(A130&lt;(Other_DCF!$F$6+1),1,0)</f>
        <v>0</v>
      </c>
      <c r="D130" s="36">
        <f>IF(A130&lt;(Other_DCF!$F$11+1),1,0)</f>
        <v>0</v>
      </c>
      <c r="E130" s="36">
        <f>IF(A130&lt;(Other_DCF!$F$12+1),1,0)</f>
        <v>0</v>
      </c>
      <c r="F130" s="98">
        <f xml:space="preserve"> -Other_DCF!$F$32*D130</f>
        <v>0</v>
      </c>
      <c r="G130" s="124">
        <f>-F130*Other_DCF!$F$9</f>
        <v>0</v>
      </c>
      <c r="H130" s="124">
        <f>-Other_DCF!$F$28*C130</f>
        <v>0</v>
      </c>
      <c r="I130" s="98">
        <f t="shared" si="27"/>
        <v>-4.435420533573848E-9</v>
      </c>
      <c r="J130" s="98">
        <f t="shared" si="24"/>
        <v>-4.7680770735918866E-9</v>
      </c>
      <c r="K130" s="98">
        <f>-I130*Other_DCF!$F$7</f>
        <v>3.326565400180386E-10</v>
      </c>
      <c r="L130" s="124">
        <f>-(K130*Other_DCF!$F$9)</f>
        <v>0</v>
      </c>
      <c r="M130" s="98">
        <f>-Other_DCF!$F$15*Other_DCF!$F$23*E130*(1+Other_DCF!$F$10)^A130</f>
        <v>0</v>
      </c>
      <c r="N130" s="98">
        <f>M130*Other_DCF!$F$9</f>
        <v>0</v>
      </c>
      <c r="O130" s="98">
        <f t="shared" si="28"/>
        <v>0</v>
      </c>
      <c r="P130" s="98">
        <f t="shared" si="29"/>
        <v>0</v>
      </c>
      <c r="Q130" s="124">
        <f t="shared" si="25"/>
        <v>0</v>
      </c>
      <c r="R130" s="98">
        <f>-E130*Other_DCF!$F$21*(1+Other_DCF!$F$17)^(Other_DCF!A130)</f>
        <v>0</v>
      </c>
      <c r="S130" s="98">
        <f>-R130*Other_DCF!$F$9</f>
        <v>0</v>
      </c>
      <c r="T130" s="124">
        <f t="shared" si="26"/>
        <v>0</v>
      </c>
      <c r="U130" s="124">
        <f t="shared" si="30"/>
        <v>0</v>
      </c>
      <c r="V130" s="68">
        <f t="shared" si="22"/>
        <v>0</v>
      </c>
      <c r="AA130" s="140"/>
      <c r="AB130" s="88"/>
    </row>
    <row r="131" spans="1:28" ht="14.4" x14ac:dyDescent="0.3">
      <c r="A131" s="35">
        <f t="shared" si="23"/>
        <v>39</v>
      </c>
      <c r="B131" s="44">
        <f>1/(1+Other_DCF!$F$8)^A131</f>
        <v>2.4304420967397926E-2</v>
      </c>
      <c r="C131" s="36">
        <f>IF(A131&lt;(Other_DCF!$F$6+1),1,0)</f>
        <v>0</v>
      </c>
      <c r="D131" s="36">
        <f>IF(A131&lt;(Other_DCF!$F$11+1),1,0)</f>
        <v>0</v>
      </c>
      <c r="E131" s="36">
        <f>IF(A131&lt;(Other_DCF!$F$12+1),1,0)</f>
        <v>0</v>
      </c>
      <c r="F131" s="98">
        <f xml:space="preserve"> -Other_DCF!$F$32*D131</f>
        <v>0</v>
      </c>
      <c r="G131" s="124">
        <f>-F131*Other_DCF!$F$9</f>
        <v>0</v>
      </c>
      <c r="H131" s="124">
        <f>-Other_DCF!$F$28*C131</f>
        <v>0</v>
      </c>
      <c r="I131" s="98">
        <f t="shared" si="27"/>
        <v>-4.7680770735918866E-9</v>
      </c>
      <c r="J131" s="98">
        <f t="shared" si="24"/>
        <v>-5.1256828541112784E-9</v>
      </c>
      <c r="K131" s="98">
        <f>-I131*Other_DCF!$F$7</f>
        <v>3.576057805193915E-10</v>
      </c>
      <c r="L131" s="124">
        <f>-(K131*Other_DCF!$F$9)</f>
        <v>0</v>
      </c>
      <c r="M131" s="98">
        <f>-Other_DCF!$F$15*Other_DCF!$F$23*E131*(1+Other_DCF!$F$10)^A131</f>
        <v>0</v>
      </c>
      <c r="N131" s="98">
        <f>M131*Other_DCF!$F$9</f>
        <v>0</v>
      </c>
      <c r="O131" s="98">
        <f t="shared" si="28"/>
        <v>0</v>
      </c>
      <c r="P131" s="98">
        <f t="shared" si="29"/>
        <v>0</v>
      </c>
      <c r="Q131" s="124">
        <f t="shared" si="25"/>
        <v>0</v>
      </c>
      <c r="R131" s="98">
        <f>-E131*Other_DCF!$F$21*(1+Other_DCF!$F$17)^(Other_DCF!A131)</f>
        <v>0</v>
      </c>
      <c r="S131" s="98">
        <f>-R131*Other_DCF!$F$9</f>
        <v>0</v>
      </c>
      <c r="T131" s="124">
        <f t="shared" si="26"/>
        <v>0</v>
      </c>
      <c r="U131" s="124">
        <f t="shared" si="30"/>
        <v>0</v>
      </c>
      <c r="V131" s="68">
        <f t="shared" si="22"/>
        <v>0</v>
      </c>
      <c r="AA131" s="140"/>
      <c r="AB131" s="88"/>
    </row>
    <row r="132" spans="1:28" ht="14.4" x14ac:dyDescent="0.3">
      <c r="A132" s="35">
        <f t="shared" si="23"/>
        <v>40</v>
      </c>
      <c r="B132" s="44">
        <f>1/(1+Other_DCF!$F$8)^A132</f>
        <v>2.2094928152179935E-2</v>
      </c>
      <c r="C132" s="36">
        <f>IF(A132&lt;(Other_DCF!$F$6+1),1,0)</f>
        <v>0</v>
      </c>
      <c r="D132" s="36">
        <f>IF(A132&lt;(Other_DCF!$F$11+1),1,0)</f>
        <v>0</v>
      </c>
      <c r="E132" s="36">
        <f>IF(A132&lt;(Other_DCF!$F$12+1),1,0)</f>
        <v>0</v>
      </c>
      <c r="F132" s="98">
        <f xml:space="preserve"> -Other_DCF!$F$32*D132</f>
        <v>0</v>
      </c>
      <c r="G132" s="124">
        <f>-F132*Other_DCF!$F$9</f>
        <v>0</v>
      </c>
      <c r="H132" s="124">
        <f>-Other_DCF!$F$28*C132</f>
        <v>0</v>
      </c>
      <c r="I132" s="98">
        <f t="shared" si="27"/>
        <v>-5.1256828541112784E-9</v>
      </c>
      <c r="J132" s="98">
        <f t="shared" si="24"/>
        <v>-5.5101090681696246E-9</v>
      </c>
      <c r="K132" s="98">
        <f>-I132*Other_DCF!$F$7</f>
        <v>3.8442621405834589E-10</v>
      </c>
      <c r="L132" s="124">
        <f>-(K132*Other_DCF!$F$9)</f>
        <v>0</v>
      </c>
      <c r="M132" s="98">
        <f>-Other_DCF!$F$15*Other_DCF!$F$23*E132*(1+Other_DCF!$F$10)^A132</f>
        <v>0</v>
      </c>
      <c r="N132" s="98">
        <f>M132*Other_DCF!$F$9</f>
        <v>0</v>
      </c>
      <c r="O132" s="98">
        <f t="shared" si="28"/>
        <v>0</v>
      </c>
      <c r="P132" s="98">
        <f t="shared" si="29"/>
        <v>0</v>
      </c>
      <c r="Q132" s="124">
        <f t="shared" si="25"/>
        <v>0</v>
      </c>
      <c r="R132" s="98">
        <f>-E132*Other_DCF!$F$21*(1+Other_DCF!$F$17)^(Other_DCF!A132)</f>
        <v>0</v>
      </c>
      <c r="S132" s="98">
        <f>-R132*Other_DCF!$F$9</f>
        <v>0</v>
      </c>
      <c r="T132" s="124">
        <f t="shared" si="26"/>
        <v>0</v>
      </c>
      <c r="U132" s="124">
        <f t="shared" si="30"/>
        <v>0</v>
      </c>
      <c r="V132" s="68">
        <f t="shared" si="22"/>
        <v>0</v>
      </c>
      <c r="AA132" s="140"/>
      <c r="AB132" s="88"/>
    </row>
  </sheetData>
  <mergeCells count="5">
    <mergeCell ref="B1:E1"/>
    <mergeCell ref="F1:I1"/>
    <mergeCell ref="B19:E19"/>
    <mergeCell ref="F19:I19"/>
    <mergeCell ref="J19:M19"/>
  </mergeCells>
  <pageMargins left="0.75" right="0.75" top="1" bottom="1" header="0.5" footer="0.5"/>
  <pageSetup paperSize="9"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N297"/>
  <sheetViews>
    <sheetView workbookViewId="0">
      <pane xSplit="1" topLeftCell="B1" activePane="topRight" state="frozen"/>
      <selection activeCell="A4" sqref="A4"/>
      <selection pane="topRight" activeCell="K28" sqref="K28"/>
    </sheetView>
  </sheetViews>
  <sheetFormatPr defaultColWidth="14.6640625" defaultRowHeight="14.4" x14ac:dyDescent="0.3"/>
  <cols>
    <col min="5" max="5" width="9.109375" customWidth="1"/>
  </cols>
  <sheetData>
    <row r="1" spans="1:9" ht="28.8" x14ac:dyDescent="0.3">
      <c r="A1" s="49" t="s">
        <v>85</v>
      </c>
      <c r="B1" s="49" t="s">
        <v>86</v>
      </c>
      <c r="C1" s="48" t="s">
        <v>87</v>
      </c>
      <c r="D1" s="49" t="s">
        <v>88</v>
      </c>
      <c r="F1" s="206" t="s">
        <v>77</v>
      </c>
      <c r="G1" s="207" t="s">
        <v>186</v>
      </c>
      <c r="H1" s="180"/>
      <c r="I1" s="181"/>
    </row>
    <row r="2" spans="1:9" x14ac:dyDescent="0.3">
      <c r="A2" s="50">
        <v>1500</v>
      </c>
      <c r="B2" s="48">
        <v>8000</v>
      </c>
      <c r="C2" s="48">
        <v>260</v>
      </c>
      <c r="D2" s="53">
        <f t="shared" ref="D2:D26" si="0">A2*(B2/$B$29)^(1-$B$28)</f>
        <v>1548.0410531097091</v>
      </c>
      <c r="F2" s="1">
        <v>25</v>
      </c>
      <c r="G2" s="183">
        <f>$K$17+$K$18*($K$19*ATAN($K$20*F2+$K$22))</f>
        <v>0.33699077235747232</v>
      </c>
    </row>
    <row r="3" spans="1:9" x14ac:dyDescent="0.3">
      <c r="A3" s="51">
        <v>572.35219039124433</v>
      </c>
      <c r="B3" s="48">
        <v>1000</v>
      </c>
      <c r="C3" s="48">
        <v>80</v>
      </c>
      <c r="D3" s="53">
        <f t="shared" si="0"/>
        <v>316.53924909397938</v>
      </c>
      <c r="F3" s="1">
        <v>30</v>
      </c>
      <c r="G3" s="183">
        <f t="shared" ref="G3:G33" si="1">$K$17+$K$18*($K$19*ATAN($K$20*F3+$K$22))</f>
        <v>0.33680004457772295</v>
      </c>
    </row>
    <row r="4" spans="1:9" x14ac:dyDescent="0.3">
      <c r="A4" s="51">
        <v>3224.1674556249995</v>
      </c>
      <c r="B4" s="48">
        <v>2.6</v>
      </c>
      <c r="C4" s="48">
        <v>80</v>
      </c>
      <c r="D4" s="53">
        <f t="shared" si="0"/>
        <v>299.00180696154405</v>
      </c>
      <c r="F4" s="1">
        <v>35</v>
      </c>
      <c r="G4" s="183">
        <f t="shared" si="1"/>
        <v>0.33659285122676041</v>
      </c>
    </row>
    <row r="5" spans="1:9" x14ac:dyDescent="0.3">
      <c r="A5" s="51">
        <v>2605.0199596875</v>
      </c>
      <c r="B5" s="48">
        <v>32</v>
      </c>
      <c r="C5" s="48">
        <v>80</v>
      </c>
      <c r="D5" s="53">
        <f t="shared" si="0"/>
        <v>513.00342813458997</v>
      </c>
      <c r="F5" s="1">
        <v>40</v>
      </c>
      <c r="G5" s="183">
        <f t="shared" si="1"/>
        <v>0.33636697003173421</v>
      </c>
    </row>
    <row r="6" spans="1:9" x14ac:dyDescent="0.3">
      <c r="A6" s="51">
        <v>1165.7175</v>
      </c>
      <c r="B6" s="54">
        <v>1000</v>
      </c>
      <c r="C6" s="54">
        <v>200</v>
      </c>
      <c r="D6" s="53">
        <f t="shared" si="0"/>
        <v>644.69979900570615</v>
      </c>
      <c r="F6" s="1">
        <v>45</v>
      </c>
      <c r="G6" s="183">
        <f t="shared" si="1"/>
        <v>0.33611976124915438</v>
      </c>
    </row>
    <row r="7" spans="1:9" x14ac:dyDescent="0.3">
      <c r="A7" s="51">
        <v>2472.7272727272725</v>
      </c>
      <c r="B7" s="48">
        <v>200</v>
      </c>
      <c r="C7" s="48">
        <v>200</v>
      </c>
      <c r="D7" s="53">
        <f t="shared" si="0"/>
        <v>843.81926448250931</v>
      </c>
      <c r="F7" s="1">
        <v>50</v>
      </c>
      <c r="G7" s="183">
        <f t="shared" si="1"/>
        <v>0.33584806515100624</v>
      </c>
    </row>
    <row r="8" spans="1:9" x14ac:dyDescent="0.3">
      <c r="A8" s="51">
        <v>1854.5454545454545</v>
      </c>
      <c r="B8" s="48">
        <v>1000</v>
      </c>
      <c r="C8" s="48">
        <v>200</v>
      </c>
      <c r="D8" s="53">
        <f t="shared" si="0"/>
        <v>1025.6559430500104</v>
      </c>
      <c r="F8" s="1">
        <v>55</v>
      </c>
      <c r="G8" s="183">
        <f t="shared" si="1"/>
        <v>0.33554806786363567</v>
      </c>
      <c r="H8" s="182"/>
    </row>
    <row r="9" spans="1:9" x14ac:dyDescent="0.3">
      <c r="A9" s="51">
        <v>1600</v>
      </c>
      <c r="B9" s="48">
        <v>200</v>
      </c>
      <c r="C9" s="48">
        <v>150</v>
      </c>
      <c r="D9" s="53">
        <f t="shared" si="0"/>
        <v>546.00070054750609</v>
      </c>
      <c r="F9" s="1">
        <v>60</v>
      </c>
      <c r="G9" s="183">
        <f t="shared" si="1"/>
        <v>0.33521512359488076</v>
      </c>
    </row>
    <row r="10" spans="1:9" x14ac:dyDescent="0.3">
      <c r="A10" s="51">
        <v>4000</v>
      </c>
      <c r="B10" s="56">
        <v>1.73</v>
      </c>
      <c r="C10" s="56">
        <v>70</v>
      </c>
      <c r="D10" s="53">
        <f t="shared" si="0"/>
        <v>328.27517448336403</v>
      </c>
      <c r="F10" s="1">
        <v>65</v>
      </c>
      <c r="G10" s="183">
        <f t="shared" si="1"/>
        <v>0.33484351584744576</v>
      </c>
    </row>
    <row r="11" spans="1:9" x14ac:dyDescent="0.3">
      <c r="A11" s="51">
        <v>1904.4632414015218</v>
      </c>
      <c r="B11" s="57">
        <v>147.48250000000002</v>
      </c>
      <c r="C11" s="56">
        <v>150</v>
      </c>
      <c r="D11" s="53">
        <f t="shared" si="0"/>
        <v>593.14238679958316</v>
      </c>
      <c r="F11" s="1">
        <v>70</v>
      </c>
      <c r="G11" s="183">
        <f t="shared" si="1"/>
        <v>0.3344261318486037</v>
      </c>
    </row>
    <row r="12" spans="1:9" x14ac:dyDescent="0.3">
      <c r="A12" s="51">
        <v>5642.2453703703686</v>
      </c>
      <c r="B12" s="57">
        <v>12.840479999999999</v>
      </c>
      <c r="C12" s="56">
        <v>70</v>
      </c>
      <c r="D12" s="53">
        <f t="shared" si="0"/>
        <v>844.87131465200105</v>
      </c>
      <c r="F12" s="1">
        <v>75</v>
      </c>
      <c r="G12" s="183">
        <f t="shared" si="1"/>
        <v>0.33395401127420876</v>
      </c>
    </row>
    <row r="13" spans="1:9" x14ac:dyDescent="0.3">
      <c r="A13" s="51">
        <v>3338.3730338311311</v>
      </c>
      <c r="B13" s="57">
        <v>145.84200000000004</v>
      </c>
      <c r="C13" s="56">
        <v>90</v>
      </c>
      <c r="D13" s="53">
        <f t="shared" si="0"/>
        <v>1036.2483824241908</v>
      </c>
      <c r="F13" s="1">
        <v>80</v>
      </c>
      <c r="G13" s="183">
        <f t="shared" si="1"/>
        <v>0.3334157091892973</v>
      </c>
    </row>
    <row r="14" spans="1:9" x14ac:dyDescent="0.3">
      <c r="A14" s="51">
        <v>360.56982421874994</v>
      </c>
      <c r="B14" s="56">
        <v>720</v>
      </c>
      <c r="C14" s="56">
        <v>40</v>
      </c>
      <c r="D14" s="53">
        <f t="shared" si="0"/>
        <v>180.6979999754048</v>
      </c>
      <c r="F14" s="1">
        <v>85</v>
      </c>
      <c r="G14" s="183">
        <f t="shared" si="1"/>
        <v>0.33279637821892988</v>
      </c>
    </row>
    <row r="15" spans="1:9" x14ac:dyDescent="0.3">
      <c r="A15" s="52">
        <v>1047</v>
      </c>
      <c r="B15" s="48">
        <v>100000</v>
      </c>
      <c r="C15" s="48">
        <v>600</v>
      </c>
      <c r="D15" s="53">
        <f t="shared" si="0"/>
        <v>2305.2121516746797</v>
      </c>
      <c r="F15" s="1">
        <v>90</v>
      </c>
      <c r="G15" s="183">
        <f t="shared" si="1"/>
        <v>0.33207641571541469</v>
      </c>
    </row>
    <row r="16" spans="1:9" x14ac:dyDescent="0.3">
      <c r="A16" s="51">
        <v>1250</v>
      </c>
      <c r="B16" s="56">
        <v>4.8000000000000007</v>
      </c>
      <c r="C16" s="56">
        <v>40</v>
      </c>
      <c r="D16" s="53">
        <f t="shared" si="0"/>
        <v>139.33063063002348</v>
      </c>
      <c r="F16" s="1">
        <v>95</v>
      </c>
      <c r="G16" s="183">
        <f t="shared" si="1"/>
        <v>0.33122941794645044</v>
      </c>
    </row>
    <row r="17" spans="1:14" x14ac:dyDescent="0.3">
      <c r="A17" s="51">
        <v>500</v>
      </c>
      <c r="B17" s="56">
        <v>281.99999999999994</v>
      </c>
      <c r="C17" s="56">
        <v>40</v>
      </c>
      <c r="D17" s="53">
        <f t="shared" si="0"/>
        <v>189.15113664935032</v>
      </c>
      <c r="F17" s="1">
        <v>100</v>
      </c>
      <c r="G17" s="183">
        <f t="shared" si="1"/>
        <v>0.33021899528714405</v>
      </c>
      <c r="J17" s="184" t="s">
        <v>187</v>
      </c>
      <c r="K17" s="186">
        <f>0.226*' Solar-thermal'!H30/18</f>
        <v>0.25111111111111112</v>
      </c>
      <c r="L17" t="s">
        <v>197</v>
      </c>
    </row>
    <row r="18" spans="1:14" x14ac:dyDescent="0.3">
      <c r="A18" s="51">
        <v>1335</v>
      </c>
      <c r="B18" s="56">
        <v>1000</v>
      </c>
      <c r="C18" s="58">
        <v>250</v>
      </c>
      <c r="D18" s="53">
        <f t="shared" si="0"/>
        <v>738.32144723967656</v>
      </c>
      <c r="F18" s="1">
        <v>105</v>
      </c>
      <c r="G18" s="183">
        <f t="shared" si="1"/>
        <v>0.3289936482521581</v>
      </c>
      <c r="J18" s="184" t="s">
        <v>189</v>
      </c>
      <c r="K18" s="185">
        <v>0.09</v>
      </c>
      <c r="L18" t="s">
        <v>192</v>
      </c>
    </row>
    <row r="19" spans="1:14" x14ac:dyDescent="0.3">
      <c r="A19" s="55">
        <v>560</v>
      </c>
      <c r="B19" s="48">
        <v>200</v>
      </c>
      <c r="C19" s="48">
        <v>35</v>
      </c>
      <c r="D19" s="53">
        <f t="shared" si="0"/>
        <v>191.10024519162712</v>
      </c>
      <c r="F19" s="1">
        <v>110</v>
      </c>
      <c r="G19" s="183">
        <f t="shared" si="1"/>
        <v>0.32747820853838983</v>
      </c>
      <c r="J19" s="184" t="s">
        <v>190</v>
      </c>
      <c r="K19" s="185">
        <v>0.64</v>
      </c>
      <c r="L19" t="s">
        <v>193</v>
      </c>
    </row>
    <row r="20" spans="1:14" x14ac:dyDescent="0.3">
      <c r="A20" s="55">
        <v>800</v>
      </c>
      <c r="B20" s="48">
        <v>200</v>
      </c>
      <c r="C20" s="48">
        <v>50</v>
      </c>
      <c r="D20" s="53">
        <f t="shared" si="0"/>
        <v>273.00035027375304</v>
      </c>
      <c r="F20" s="1">
        <v>115</v>
      </c>
      <c r="G20" s="183">
        <f t="shared" si="1"/>
        <v>0.32555891917580276</v>
      </c>
      <c r="J20" s="184" t="s">
        <v>191</v>
      </c>
      <c r="K20" s="186">
        <v>-0.1</v>
      </c>
      <c r="L20" t="s">
        <v>194</v>
      </c>
    </row>
    <row r="21" spans="1:14" x14ac:dyDescent="0.3">
      <c r="A21" s="55">
        <v>1205.0814192360501</v>
      </c>
      <c r="B21" s="48">
        <v>200</v>
      </c>
      <c r="C21" s="48">
        <v>80</v>
      </c>
      <c r="D21" s="53">
        <f t="shared" si="0"/>
        <v>411.23456194979138</v>
      </c>
      <c r="F21" s="1">
        <v>120</v>
      </c>
      <c r="G21" s="183">
        <f t="shared" si="1"/>
        <v>0.32305614760125057</v>
      </c>
      <c r="K21" s="186">
        <v>150</v>
      </c>
      <c r="L21" t="s">
        <v>195</v>
      </c>
    </row>
    <row r="22" spans="1:14" x14ac:dyDescent="0.3">
      <c r="A22" s="55">
        <v>1455.2395287332056</v>
      </c>
      <c r="B22" s="48">
        <v>200</v>
      </c>
      <c r="C22" s="48">
        <v>80</v>
      </c>
      <c r="D22" s="53">
        <f t="shared" si="0"/>
        <v>496.6011263454705</v>
      </c>
      <c r="F22" s="1">
        <v>125</v>
      </c>
      <c r="G22" s="183">
        <f t="shared" si="1"/>
        <v>0.31967181221282492</v>
      </c>
      <c r="J22" s="184" t="s">
        <v>188</v>
      </c>
      <c r="K22" s="185">
        <f>-K21*K20</f>
        <v>15</v>
      </c>
      <c r="L22" t="s">
        <v>196</v>
      </c>
      <c r="N22" s="184"/>
    </row>
    <row r="23" spans="1:14" x14ac:dyDescent="0.3">
      <c r="A23" s="55">
        <v>1291.705185652791</v>
      </c>
      <c r="B23" s="48">
        <v>200</v>
      </c>
      <c r="C23" s="48">
        <v>80</v>
      </c>
      <c r="D23" s="53">
        <f t="shared" si="0"/>
        <v>440.79496016704388</v>
      </c>
      <c r="F23" s="1">
        <v>130</v>
      </c>
      <c r="G23" s="183">
        <f t="shared" si="1"/>
        <v>0.31488287725605074</v>
      </c>
      <c r="K23" s="187">
        <f>VLOOKUP(5*ROUNDUP(' Solar-thermal'!H31/5,0),'Solar Calculator'!F2:G117,2)</f>
        <v>0.33021899528714405</v>
      </c>
      <c r="L23" s="163" t="s">
        <v>200</v>
      </c>
    </row>
    <row r="24" spans="1:14" x14ac:dyDescent="0.3">
      <c r="A24" s="55">
        <v>1409.1329298030446</v>
      </c>
      <c r="B24" s="48">
        <v>200</v>
      </c>
      <c r="C24" s="48">
        <v>85</v>
      </c>
      <c r="D24" s="53">
        <f t="shared" si="0"/>
        <v>480.86722927313878</v>
      </c>
      <c r="F24" s="1">
        <v>135</v>
      </c>
      <c r="G24" s="183">
        <f t="shared" si="1"/>
        <v>0.30772002957015726</v>
      </c>
      <c r="K24" s="187">
        <f>0.09*(0.64*ATAN(-0.1*' Solar-thermal'!$H$31+'Solar Calculator'!K22))+0.226*' Solar-thermal'!H30/18</f>
        <v>0.33021899528714405</v>
      </c>
      <c r="L24" s="163" t="s">
        <v>201</v>
      </c>
    </row>
    <row r="25" spans="1:14" x14ac:dyDescent="0.3">
      <c r="A25" s="55">
        <v>1292.271226487871</v>
      </c>
      <c r="B25" s="48">
        <v>200</v>
      </c>
      <c r="C25" s="48">
        <v>100</v>
      </c>
      <c r="D25" s="53">
        <f t="shared" si="0"/>
        <v>440.9881218498515</v>
      </c>
      <c r="F25" s="1">
        <v>140</v>
      </c>
      <c r="G25" s="183">
        <f t="shared" si="1"/>
        <v>0.29635004532280412</v>
      </c>
      <c r="K25" t="s">
        <v>1</v>
      </c>
    </row>
    <row r="26" spans="1:14" x14ac:dyDescent="0.3">
      <c r="A26" s="52">
        <v>1047</v>
      </c>
      <c r="B26" s="48">
        <v>100000</v>
      </c>
      <c r="C26" s="48">
        <v>400</v>
      </c>
      <c r="D26" s="53">
        <f t="shared" si="0"/>
        <v>2305.2121516746797</v>
      </c>
      <c r="F26" s="1">
        <v>145</v>
      </c>
      <c r="G26" s="183">
        <f t="shared" si="1"/>
        <v>0.27781721338955756</v>
      </c>
    </row>
    <row r="27" spans="1:14" x14ac:dyDescent="0.3">
      <c r="A27" s="331"/>
      <c r="B27" s="331"/>
      <c r="C27" s="331"/>
      <c r="F27" s="1">
        <v>150</v>
      </c>
      <c r="G27" s="183">
        <f t="shared" si="1"/>
        <v>0.25111111111111112</v>
      </c>
      <c r="H27" s="183"/>
      <c r="K27" t="s">
        <v>1</v>
      </c>
    </row>
    <row r="28" spans="1:14" x14ac:dyDescent="0.3">
      <c r="A28" t="s">
        <v>92</v>
      </c>
      <c r="B28">
        <v>0.7</v>
      </c>
      <c r="F28" s="1">
        <v>155</v>
      </c>
      <c r="G28" s="183">
        <f t="shared" si="1"/>
        <v>0.22440500883266468</v>
      </c>
      <c r="K28" s="233" t="s">
        <v>1</v>
      </c>
    </row>
    <row r="29" spans="1:14" x14ac:dyDescent="0.3">
      <c r="A29" t="s">
        <v>89</v>
      </c>
      <c r="B29">
        <f>' Solar-thermal'!C5</f>
        <v>7201.9915048022458</v>
      </c>
      <c r="C29" t="s">
        <v>2</v>
      </c>
      <c r="F29" s="1">
        <v>160</v>
      </c>
      <c r="G29" s="183">
        <f t="shared" si="1"/>
        <v>0.20587217689941809</v>
      </c>
    </row>
    <row r="30" spans="1:14" x14ac:dyDescent="0.3">
      <c r="A30" t="s">
        <v>90</v>
      </c>
      <c r="B30" s="59">
        <f>INTERCEPT(D2:D26,C2:C26)</f>
        <v>108.90334991974657</v>
      </c>
      <c r="F30" s="1">
        <v>165</v>
      </c>
      <c r="G30" s="183">
        <f t="shared" si="1"/>
        <v>0.19450219265206498</v>
      </c>
    </row>
    <row r="31" spans="1:14" x14ac:dyDescent="0.3">
      <c r="A31" t="s">
        <v>91</v>
      </c>
      <c r="B31" s="59">
        <f>SLOPE(D2:D26,C2:C26)</f>
        <v>4.1051928397850483</v>
      </c>
      <c r="F31" s="1">
        <v>170</v>
      </c>
      <c r="G31" s="183">
        <f t="shared" si="1"/>
        <v>0.18733934496617149</v>
      </c>
    </row>
    <row r="32" spans="1:14" x14ac:dyDescent="0.3">
      <c r="A32" t="s">
        <v>77</v>
      </c>
      <c r="B32">
        <f>'General Parameters'!C5</f>
        <v>100</v>
      </c>
      <c r="F32" s="1">
        <v>175</v>
      </c>
      <c r="G32" s="183">
        <f t="shared" si="1"/>
        <v>0.18255041000939731</v>
      </c>
    </row>
    <row r="33" spans="1:7" x14ac:dyDescent="0.3">
      <c r="A33" t="s">
        <v>84</v>
      </c>
      <c r="B33" s="60">
        <f>B30+B32*B31</f>
        <v>519.42263389825143</v>
      </c>
      <c r="F33" s="1">
        <v>180</v>
      </c>
      <c r="G33" s="183">
        <f t="shared" si="1"/>
        <v>0.17916607462097167</v>
      </c>
    </row>
    <row r="34" spans="1:7" x14ac:dyDescent="0.3">
      <c r="A34" s="1"/>
      <c r="C34" s="1"/>
      <c r="F34" s="1">
        <v>185</v>
      </c>
      <c r="G34" s="183">
        <f t="shared" ref="G34:G65" si="2">$K$17+$K$18*($K$19*ATAN($K$20*F34+$K$22))</f>
        <v>0.17666330304641947</v>
      </c>
    </row>
    <row r="35" spans="1:7" x14ac:dyDescent="0.3">
      <c r="F35" s="1">
        <v>190</v>
      </c>
      <c r="G35" s="183">
        <f t="shared" si="2"/>
        <v>0.17474401368383244</v>
      </c>
    </row>
    <row r="36" spans="1:7" x14ac:dyDescent="0.3">
      <c r="F36" s="1">
        <v>195</v>
      </c>
      <c r="G36" s="183">
        <f t="shared" si="2"/>
        <v>0.17322857397006414</v>
      </c>
    </row>
    <row r="37" spans="1:7" x14ac:dyDescent="0.3">
      <c r="F37" s="1">
        <v>200</v>
      </c>
      <c r="G37" s="183">
        <f t="shared" si="2"/>
        <v>0.17200322693507819</v>
      </c>
    </row>
    <row r="38" spans="1:7" x14ac:dyDescent="0.3">
      <c r="F38" s="1">
        <v>205</v>
      </c>
      <c r="G38" s="183">
        <f t="shared" si="2"/>
        <v>0.17099280427577182</v>
      </c>
    </row>
    <row r="39" spans="1:7" x14ac:dyDescent="0.3">
      <c r="F39" s="1">
        <v>210</v>
      </c>
      <c r="G39" s="183">
        <f t="shared" si="2"/>
        <v>0.17014580650680758</v>
      </c>
    </row>
    <row r="40" spans="1:7" x14ac:dyDescent="0.3">
      <c r="F40" s="1">
        <v>215</v>
      </c>
      <c r="G40" s="183">
        <f t="shared" si="2"/>
        <v>0.16942584400329236</v>
      </c>
    </row>
    <row r="41" spans="1:7" x14ac:dyDescent="0.3">
      <c r="F41" s="1">
        <v>220</v>
      </c>
      <c r="G41" s="183">
        <f t="shared" si="2"/>
        <v>0.16880651303292493</v>
      </c>
    </row>
    <row r="42" spans="1:7" x14ac:dyDescent="0.3">
      <c r="F42" s="1">
        <v>225</v>
      </c>
      <c r="G42" s="183">
        <f t="shared" si="2"/>
        <v>0.1682682109480135</v>
      </c>
    </row>
    <row r="43" spans="1:7" x14ac:dyDescent="0.3">
      <c r="F43" s="1">
        <v>230</v>
      </c>
      <c r="G43" s="183">
        <f t="shared" si="2"/>
        <v>0.16779609037361853</v>
      </c>
    </row>
    <row r="44" spans="1:7" x14ac:dyDescent="0.3">
      <c r="F44" s="1">
        <v>235</v>
      </c>
      <c r="G44" s="183">
        <f t="shared" si="2"/>
        <v>0.16737870637477645</v>
      </c>
    </row>
    <row r="45" spans="1:7" x14ac:dyDescent="0.3">
      <c r="F45" s="1">
        <v>240</v>
      </c>
      <c r="G45" s="183">
        <f t="shared" si="2"/>
        <v>0.16700709862734148</v>
      </c>
    </row>
    <row r="46" spans="1:7" x14ac:dyDescent="0.3">
      <c r="F46" s="1">
        <v>245</v>
      </c>
      <c r="G46" s="183">
        <f t="shared" si="2"/>
        <v>0.16667415435858654</v>
      </c>
    </row>
    <row r="47" spans="1:7" x14ac:dyDescent="0.3">
      <c r="F47" s="1">
        <v>250</v>
      </c>
      <c r="G47" s="183">
        <f t="shared" si="2"/>
        <v>0.166374157071216</v>
      </c>
    </row>
    <row r="48" spans="1:7" x14ac:dyDescent="0.3">
      <c r="F48" s="1">
        <v>255</v>
      </c>
      <c r="G48" s="183">
        <f t="shared" si="2"/>
        <v>0.16610246097306786</v>
      </c>
    </row>
    <row r="49" spans="6:7" x14ac:dyDescent="0.3">
      <c r="F49" s="1">
        <v>260</v>
      </c>
      <c r="G49" s="183">
        <f t="shared" si="2"/>
        <v>0.165855252190488</v>
      </c>
    </row>
    <row r="50" spans="6:7" x14ac:dyDescent="0.3">
      <c r="F50" s="1">
        <v>265</v>
      </c>
      <c r="G50" s="183">
        <f t="shared" si="2"/>
        <v>0.16562937099546182</v>
      </c>
    </row>
    <row r="51" spans="6:7" x14ac:dyDescent="0.3">
      <c r="F51" s="1">
        <v>270</v>
      </c>
      <c r="G51" s="183">
        <f t="shared" si="2"/>
        <v>0.16542217764449929</v>
      </c>
    </row>
    <row r="52" spans="6:7" x14ac:dyDescent="0.3">
      <c r="F52" s="1">
        <v>275</v>
      </c>
      <c r="G52" s="183">
        <f t="shared" si="2"/>
        <v>0.16523144986474994</v>
      </c>
    </row>
    <row r="53" spans="6:7" x14ac:dyDescent="0.3">
      <c r="F53" s="1">
        <v>280</v>
      </c>
      <c r="G53" s="183">
        <f t="shared" si="2"/>
        <v>0.16505530362486429</v>
      </c>
    </row>
    <row r="54" spans="6:7" x14ac:dyDescent="0.3">
      <c r="F54" s="1">
        <v>285</v>
      </c>
      <c r="G54" s="183">
        <f t="shared" si="2"/>
        <v>0.16489213125682245</v>
      </c>
    </row>
    <row r="55" spans="6:7" x14ac:dyDescent="0.3">
      <c r="F55" s="1">
        <v>290</v>
      </c>
      <c r="G55" s="183">
        <f t="shared" si="2"/>
        <v>0.1647405526593578</v>
      </c>
    </row>
    <row r="56" spans="6:7" x14ac:dyDescent="0.3">
      <c r="F56" s="1">
        <v>295</v>
      </c>
      <c r="G56" s="183">
        <f t="shared" si="2"/>
        <v>0.16459937647146525</v>
      </c>
    </row>
    <row r="57" spans="6:7" x14ac:dyDescent="0.3">
      <c r="F57" s="1">
        <v>300</v>
      </c>
      <c r="G57" s="183">
        <f t="shared" si="2"/>
        <v>0.1644675689212125</v>
      </c>
    </row>
    <row r="58" spans="6:7" x14ac:dyDescent="0.3">
      <c r="F58" s="1">
        <v>305</v>
      </c>
      <c r="G58" s="183">
        <f t="shared" si="2"/>
        <v>0.16434422863863696</v>
      </c>
    </row>
    <row r="59" spans="6:7" x14ac:dyDescent="0.3">
      <c r="F59" s="1">
        <v>310</v>
      </c>
      <c r="G59" s="183">
        <f t="shared" si="2"/>
        <v>0.16422856614349221</v>
      </c>
    </row>
    <row r="60" spans="6:7" x14ac:dyDescent="0.3">
      <c r="F60" s="1">
        <v>315</v>
      </c>
      <c r="G60" s="183">
        <f t="shared" si="2"/>
        <v>0.16411988702717445</v>
      </c>
    </row>
    <row r="61" spans="6:7" x14ac:dyDescent="0.3">
      <c r="F61" s="1">
        <v>320</v>
      </c>
      <c r="G61" s="183">
        <f t="shared" si="2"/>
        <v>0.16401757807615069</v>
      </c>
    </row>
    <row r="62" spans="6:7" x14ac:dyDescent="0.3">
      <c r="F62" s="1">
        <v>325</v>
      </c>
      <c r="G62" s="183">
        <f t="shared" si="2"/>
        <v>0.1639210957543259</v>
      </c>
    </row>
    <row r="63" spans="6:7" x14ac:dyDescent="0.3">
      <c r="F63" s="1">
        <v>330</v>
      </c>
      <c r="G63" s="183">
        <f t="shared" si="2"/>
        <v>0.16382995658987837</v>
      </c>
    </row>
    <row r="64" spans="6:7" x14ac:dyDescent="0.3">
      <c r="F64" s="1">
        <v>335</v>
      </c>
      <c r="G64" s="183">
        <f t="shared" si="2"/>
        <v>0.16374372910938084</v>
      </c>
    </row>
    <row r="65" spans="6:7" x14ac:dyDescent="0.3">
      <c r="F65" s="1">
        <v>340</v>
      </c>
      <c r="G65" s="183">
        <f t="shared" si="2"/>
        <v>0.16366202703651533</v>
      </c>
    </row>
    <row r="66" spans="6:7" x14ac:dyDescent="0.3">
      <c r="F66" s="1">
        <v>345</v>
      </c>
      <c r="G66" s="183">
        <f t="shared" ref="G66:G97" si="3">$K$17+$K$18*($K$19*ATAN($K$20*F66+$K$22))</f>
        <v>0.16358450353016199</v>
      </c>
    </row>
    <row r="67" spans="6:7" x14ac:dyDescent="0.3">
      <c r="F67" s="1">
        <v>350</v>
      </c>
      <c r="G67" s="183">
        <f t="shared" si="3"/>
        <v>0.16351084628130896</v>
      </c>
    </row>
    <row r="68" spans="6:7" x14ac:dyDescent="0.3">
      <c r="F68" s="1">
        <v>355</v>
      </c>
      <c r="G68" s="183">
        <f t="shared" si="3"/>
        <v>0.16344077332317714</v>
      </c>
    </row>
    <row r="69" spans="6:7" x14ac:dyDescent="0.3">
      <c r="F69" s="1">
        <v>360</v>
      </c>
      <c r="G69" s="183">
        <f t="shared" si="3"/>
        <v>0.16337402943647933</v>
      </c>
    </row>
    <row r="70" spans="6:7" x14ac:dyDescent="0.3">
      <c r="F70" s="1">
        <v>365</v>
      </c>
      <c r="G70" s="183">
        <f t="shared" si="3"/>
        <v>0.16331038305354284</v>
      </c>
    </row>
    <row r="71" spans="6:7" x14ac:dyDescent="0.3">
      <c r="F71" s="1">
        <v>370</v>
      </c>
      <c r="G71" s="183">
        <f t="shared" si="3"/>
        <v>0.16324962358240791</v>
      </c>
    </row>
    <row r="72" spans="6:7" x14ac:dyDescent="0.3">
      <c r="F72" s="1">
        <v>375</v>
      </c>
      <c r="G72" s="183">
        <f t="shared" si="3"/>
        <v>0.16319155908594715</v>
      </c>
    </row>
    <row r="73" spans="6:7" x14ac:dyDescent="0.3">
      <c r="F73" s="1">
        <v>380</v>
      </c>
      <c r="G73" s="183">
        <f t="shared" si="3"/>
        <v>0.16313601426227725</v>
      </c>
    </row>
    <row r="74" spans="6:7" x14ac:dyDescent="0.3">
      <c r="F74" s="1">
        <v>385</v>
      </c>
      <c r="G74" s="183">
        <f t="shared" si="3"/>
        <v>0.16308282868182464</v>
      </c>
    </row>
    <row r="75" spans="6:7" x14ac:dyDescent="0.3">
      <c r="F75" s="1">
        <v>390</v>
      </c>
      <c r="G75" s="183">
        <f t="shared" si="3"/>
        <v>0.16303185524380376</v>
      </c>
    </row>
    <row r="76" spans="6:7" x14ac:dyDescent="0.3">
      <c r="F76" s="1">
        <v>395</v>
      </c>
      <c r="G76" s="183">
        <f t="shared" si="3"/>
        <v>0.16298295882091413</v>
      </c>
    </row>
    <row r="77" spans="6:7" x14ac:dyDescent="0.3">
      <c r="F77" s="1">
        <v>400</v>
      </c>
      <c r="G77" s="183">
        <f t="shared" si="3"/>
        <v>0.16293601506602656</v>
      </c>
    </row>
    <row r="78" spans="6:7" x14ac:dyDescent="0.3">
      <c r="F78" s="1">
        <v>405</v>
      </c>
      <c r="G78" s="183">
        <f t="shared" si="3"/>
        <v>0.16289090935872341</v>
      </c>
    </row>
    <row r="79" spans="6:7" x14ac:dyDescent="0.3">
      <c r="F79" s="1">
        <v>410</v>
      </c>
      <c r="G79" s="183">
        <f t="shared" si="3"/>
        <v>0.16284753587294551</v>
      </c>
    </row>
    <row r="80" spans="6:7" x14ac:dyDescent="0.3">
      <c r="F80" s="1">
        <v>415</v>
      </c>
      <c r="G80" s="183">
        <f t="shared" si="3"/>
        <v>0.16280579674981643</v>
      </c>
    </row>
    <row r="81" spans="6:7" x14ac:dyDescent="0.3">
      <c r="F81" s="1">
        <v>420</v>
      </c>
      <c r="G81" s="183">
        <f t="shared" si="3"/>
        <v>0.16276560136206344</v>
      </c>
    </row>
    <row r="82" spans="6:7" x14ac:dyDescent="0.3">
      <c r="F82" s="1">
        <v>425</v>
      </c>
      <c r="G82" s="183">
        <f t="shared" si="3"/>
        <v>0.16272686565842065</v>
      </c>
    </row>
    <row r="83" spans="6:7" x14ac:dyDescent="0.3">
      <c r="F83" s="1">
        <v>430</v>
      </c>
      <c r="G83" s="183">
        <f t="shared" si="3"/>
        <v>0.16268951157805414</v>
      </c>
    </row>
    <row r="84" spans="6:7" x14ac:dyDescent="0.3">
      <c r="F84" s="1">
        <v>435</v>
      </c>
      <c r="G84" s="183">
        <f t="shared" si="3"/>
        <v>0.16265346652643886</v>
      </c>
    </row>
    <row r="85" spans="6:7" x14ac:dyDescent="0.3">
      <c r="F85" s="1">
        <v>440</v>
      </c>
      <c r="G85" s="183">
        <f t="shared" si="3"/>
        <v>0.16261866290529675</v>
      </c>
    </row>
    <row r="86" spans="6:7" x14ac:dyDescent="0.3">
      <c r="F86" s="1">
        <v>445</v>
      </c>
      <c r="G86" s="183">
        <f t="shared" si="3"/>
        <v>0.16258503769020224</v>
      </c>
    </row>
    <row r="87" spans="6:7" x14ac:dyDescent="0.3">
      <c r="F87" s="1">
        <v>450</v>
      </c>
      <c r="G87" s="183">
        <f t="shared" si="3"/>
        <v>0.16255253205031212</v>
      </c>
    </row>
    <row r="88" spans="6:7" x14ac:dyDescent="0.3">
      <c r="F88" s="1">
        <v>455</v>
      </c>
      <c r="G88" s="183">
        <f t="shared" si="3"/>
        <v>0.16252109100539985</v>
      </c>
    </row>
    <row r="89" spans="6:7" x14ac:dyDescent="0.3">
      <c r="F89" s="1">
        <v>460</v>
      </c>
      <c r="G89" s="183">
        <f t="shared" si="3"/>
        <v>0.16249066311599569</v>
      </c>
    </row>
    <row r="90" spans="6:7" x14ac:dyDescent="0.3">
      <c r="F90" s="1">
        <v>465</v>
      </c>
      <c r="G90" s="183">
        <f t="shared" si="3"/>
        <v>0.16246120020296423</v>
      </c>
    </row>
    <row r="91" spans="6:7" x14ac:dyDescent="0.3">
      <c r="F91" s="1">
        <v>470</v>
      </c>
      <c r="G91" s="183">
        <f t="shared" si="3"/>
        <v>0.16243265709330851</v>
      </c>
    </row>
    <row r="92" spans="6:7" x14ac:dyDescent="0.3">
      <c r="F92" s="1">
        <v>475</v>
      </c>
      <c r="G92" s="183">
        <f t="shared" si="3"/>
        <v>0.16240499138938411</v>
      </c>
    </row>
    <row r="93" spans="6:7" x14ac:dyDescent="0.3">
      <c r="F93" s="1">
        <v>480</v>
      </c>
      <c r="G93" s="183">
        <f t="shared" si="3"/>
        <v>0.16237816325904653</v>
      </c>
    </row>
    <row r="94" spans="6:7" x14ac:dyDescent="0.3">
      <c r="F94" s="1">
        <v>485</v>
      </c>
      <c r="G94" s="183">
        <f t="shared" si="3"/>
        <v>0.16235213524455056</v>
      </c>
    </row>
    <row r="95" spans="6:7" x14ac:dyDescent="0.3">
      <c r="F95" s="1">
        <v>490</v>
      </c>
      <c r="G95" s="183">
        <f t="shared" si="3"/>
        <v>0.16232687208827576</v>
      </c>
    </row>
    <row r="96" spans="6:7" x14ac:dyDescent="0.3">
      <c r="F96" s="1">
        <v>495</v>
      </c>
      <c r="G96" s="183">
        <f t="shared" si="3"/>
        <v>0.16230234057357501</v>
      </c>
    </row>
    <row r="97" spans="6:7" x14ac:dyDescent="0.3">
      <c r="F97" s="1">
        <v>500</v>
      </c>
      <c r="G97" s="183">
        <f t="shared" si="3"/>
        <v>0.16227850937923766</v>
      </c>
    </row>
    <row r="98" spans="6:7" x14ac:dyDescent="0.3">
      <c r="F98" s="1">
        <v>505</v>
      </c>
      <c r="G98" s="183">
        <f t="shared" ref="G98:G117" si="4">$K$17+$K$18*($K$19*ATAN($K$20*F98+$K$22))</f>
        <v>0.16225534894622767</v>
      </c>
    </row>
    <row r="99" spans="6:7" x14ac:dyDescent="0.3">
      <c r="F99" s="1">
        <v>510</v>
      </c>
      <c r="G99" s="183">
        <f t="shared" si="4"/>
        <v>0.16223283135550615</v>
      </c>
    </row>
    <row r="100" spans="6:7" x14ac:dyDescent="0.3">
      <c r="F100" s="1">
        <v>515</v>
      </c>
      <c r="G100" s="183">
        <f t="shared" si="4"/>
        <v>0.16221093021587715</v>
      </c>
    </row>
    <row r="101" spans="6:7" x14ac:dyDescent="0.3">
      <c r="F101" s="1">
        <v>520</v>
      </c>
      <c r="G101" s="183">
        <f t="shared" si="4"/>
        <v>0.16218962056091152</v>
      </c>
    </row>
    <row r="102" spans="6:7" x14ac:dyDescent="0.3">
      <c r="F102" s="1">
        <v>525</v>
      </c>
      <c r="G102" s="183">
        <f t="shared" si="4"/>
        <v>0.16216887875410191</v>
      </c>
    </row>
    <row r="103" spans="6:7" x14ac:dyDescent="0.3">
      <c r="F103" s="1">
        <v>530</v>
      </c>
      <c r="G103" s="183">
        <f t="shared" si="4"/>
        <v>0.16214868240149338</v>
      </c>
    </row>
    <row r="104" spans="6:7" x14ac:dyDescent="0.3">
      <c r="F104" s="1">
        <v>535</v>
      </c>
      <c r="G104" s="183">
        <f t="shared" si="4"/>
        <v>0.16212901027111071</v>
      </c>
    </row>
    <row r="105" spans="6:7" x14ac:dyDescent="0.3">
      <c r="F105" s="1">
        <v>540</v>
      </c>
      <c r="G105" s="183">
        <f t="shared" si="4"/>
        <v>0.16210984221857369</v>
      </c>
    </row>
    <row r="106" spans="6:7" x14ac:dyDescent="0.3">
      <c r="F106" s="1">
        <v>545</v>
      </c>
      <c r="G106" s="183">
        <f t="shared" si="4"/>
        <v>0.16209115911835315</v>
      </c>
    </row>
    <row r="107" spans="6:7" x14ac:dyDescent="0.3">
      <c r="F107" s="1">
        <v>550</v>
      </c>
      <c r="G107" s="183">
        <f t="shared" si="4"/>
        <v>0.16207294280017487</v>
      </c>
    </row>
    <row r="108" spans="6:7" x14ac:dyDescent="0.3">
      <c r="F108" s="1">
        <v>555</v>
      </c>
      <c r="G108" s="183">
        <f t="shared" si="4"/>
        <v>0.16205517599012759</v>
      </c>
    </row>
    <row r="109" spans="6:7" x14ac:dyDescent="0.3">
      <c r="F109" s="1">
        <v>560</v>
      </c>
      <c r="G109" s="183">
        <f t="shared" si="4"/>
        <v>0.16203784225607365</v>
      </c>
    </row>
    <row r="110" spans="6:7" x14ac:dyDescent="0.3">
      <c r="F110" s="1">
        <v>565</v>
      </c>
      <c r="G110" s="183">
        <f t="shared" si="4"/>
        <v>0.16202092595700052</v>
      </c>
    </row>
    <row r="111" spans="6:7" x14ac:dyDescent="0.3">
      <c r="F111" s="1">
        <v>570</v>
      </c>
      <c r="G111" s="183">
        <f t="shared" si="4"/>
        <v>0.1620044121959851</v>
      </c>
    </row>
    <row r="112" spans="6:7" x14ac:dyDescent="0.3">
      <c r="F112" s="1">
        <v>575</v>
      </c>
      <c r="G112" s="183">
        <f t="shared" si="4"/>
        <v>0.16198828677647356</v>
      </c>
    </row>
    <row r="113" spans="6:7" x14ac:dyDescent="0.3">
      <c r="F113" s="1">
        <v>580</v>
      </c>
      <c r="G113" s="183">
        <f t="shared" si="4"/>
        <v>0.16197253616160773</v>
      </c>
    </row>
    <row r="114" spans="6:7" x14ac:dyDescent="0.3">
      <c r="F114" s="1">
        <v>585</v>
      </c>
      <c r="G114" s="183">
        <f t="shared" si="4"/>
        <v>0.1619571474363527</v>
      </c>
    </row>
    <row r="115" spans="6:7" x14ac:dyDescent="0.3">
      <c r="F115" s="1">
        <v>590</v>
      </c>
      <c r="G115" s="183">
        <f t="shared" si="4"/>
        <v>0.16194210827220359</v>
      </c>
    </row>
    <row r="116" spans="6:7" x14ac:dyDescent="0.3">
      <c r="F116" s="1">
        <v>595</v>
      </c>
      <c r="G116" s="183">
        <f t="shared" si="4"/>
        <v>0.16192740689426863</v>
      </c>
    </row>
    <row r="117" spans="6:7" x14ac:dyDescent="0.3">
      <c r="F117" s="1">
        <v>600</v>
      </c>
      <c r="G117" s="183">
        <f t="shared" si="4"/>
        <v>0.16191303205054408</v>
      </c>
    </row>
    <row r="118" spans="6:7" x14ac:dyDescent="0.3">
      <c r="F118" s="1">
        <v>605</v>
      </c>
      <c r="G118" s="183">
        <f t="shared" ref="G118:G121" si="5">$K$17+$K$18*($K$19*ATAN($K$20*F118+$K$22))</f>
        <v>0.16189897298321282</v>
      </c>
    </row>
    <row r="119" spans="6:7" x14ac:dyDescent="0.3">
      <c r="F119" s="1">
        <v>610</v>
      </c>
      <c r="G119" s="183">
        <f t="shared" si="5"/>
        <v>0.16188521940181233</v>
      </c>
    </row>
    <row r="120" spans="6:7" x14ac:dyDescent="0.3">
      <c r="F120" s="1">
        <v>615</v>
      </c>
      <c r="G120" s="183">
        <f t="shared" si="5"/>
        <v>0.16187176145813198</v>
      </c>
    </row>
    <row r="121" spans="6:7" x14ac:dyDescent="0.3">
      <c r="F121" s="1">
        <v>620</v>
      </c>
      <c r="G121" s="183">
        <f t="shared" si="5"/>
        <v>0.161858589722711</v>
      </c>
    </row>
    <row r="122" spans="6:7" x14ac:dyDescent="0.3">
      <c r="F122" s="1">
        <v>625</v>
      </c>
      <c r="G122" s="183">
        <f t="shared" ref="G122:G185" si="6">$K$17+$K$18*($K$19*ATAN($K$20*F122+$K$22))</f>
        <v>0.16184569516281894</v>
      </c>
    </row>
    <row r="123" spans="6:7" x14ac:dyDescent="0.3">
      <c r="F123" s="1">
        <v>630</v>
      </c>
      <c r="G123" s="183">
        <f t="shared" si="6"/>
        <v>0.16183306912181117</v>
      </c>
    </row>
    <row r="124" spans="6:7" x14ac:dyDescent="0.3">
      <c r="F124" s="1">
        <v>635</v>
      </c>
      <c r="G124" s="183">
        <f t="shared" si="6"/>
        <v>0.16182070329975984</v>
      </c>
    </row>
    <row r="125" spans="6:7" x14ac:dyDescent="0.3">
      <c r="F125" s="1">
        <v>640</v>
      </c>
      <c r="G125" s="183">
        <f t="shared" si="6"/>
        <v>0.16180858973526968</v>
      </c>
    </row>
    <row r="126" spans="6:7" x14ac:dyDescent="0.3">
      <c r="F126" s="1">
        <v>645</v>
      </c>
      <c r="G126" s="183">
        <f t="shared" si="6"/>
        <v>0.16179672078839458</v>
      </c>
    </row>
    <row r="127" spans="6:7" x14ac:dyDescent="0.3">
      <c r="F127" s="1">
        <v>650</v>
      </c>
      <c r="G127" s="183">
        <f t="shared" si="6"/>
        <v>0.16178508912457856</v>
      </c>
    </row>
    <row r="128" spans="6:7" x14ac:dyDescent="0.3">
      <c r="F128" s="1">
        <v>655</v>
      </c>
      <c r="G128" s="183">
        <f t="shared" si="6"/>
        <v>0.16177368769954931</v>
      </c>
    </row>
    <row r="129" spans="6:7" x14ac:dyDescent="0.3">
      <c r="F129" s="1">
        <v>660</v>
      </c>
      <c r="G129" s="183">
        <f t="shared" si="6"/>
        <v>0.16176250974510006</v>
      </c>
    </row>
    <row r="130" spans="6:7" x14ac:dyDescent="0.3">
      <c r="F130" s="1">
        <v>665</v>
      </c>
      <c r="G130" s="183">
        <f t="shared" si="6"/>
        <v>0.16175154875569858</v>
      </c>
    </row>
    <row r="131" spans="6:7" x14ac:dyDescent="0.3">
      <c r="F131" s="1">
        <v>670</v>
      </c>
      <c r="G131" s="183">
        <f t="shared" si="6"/>
        <v>0.1617407984758682</v>
      </c>
    </row>
    <row r="132" spans="6:7" x14ac:dyDescent="0.3">
      <c r="F132" s="1">
        <v>675</v>
      </c>
      <c r="G132" s="183">
        <f t="shared" si="6"/>
        <v>0.16173025288828921</v>
      </c>
    </row>
    <row r="133" spans="6:7" x14ac:dyDescent="0.3">
      <c r="F133" s="1">
        <v>680</v>
      </c>
      <c r="G133" s="183">
        <f t="shared" si="6"/>
        <v>0.16171990620257332</v>
      </c>
    </row>
    <row r="134" spans="6:7" x14ac:dyDescent="0.3">
      <c r="F134" s="1">
        <v>685</v>
      </c>
      <c r="G134" s="183">
        <f t="shared" si="6"/>
        <v>0.16170975284466685</v>
      </c>
    </row>
    <row r="135" spans="6:7" x14ac:dyDescent="0.3">
      <c r="F135" s="1">
        <v>690</v>
      </c>
      <c r="G135" s="183">
        <f t="shared" si="6"/>
        <v>0.16169978744684238</v>
      </c>
    </row>
    <row r="136" spans="6:7" x14ac:dyDescent="0.3">
      <c r="F136" s="1">
        <v>695</v>
      </c>
      <c r="G136" s="183">
        <f t="shared" si="6"/>
        <v>0.16169000483824081</v>
      </c>
    </row>
    <row r="137" spans="6:7" x14ac:dyDescent="0.3">
      <c r="F137" s="1">
        <v>700</v>
      </c>
      <c r="G137" s="183">
        <f t="shared" si="6"/>
        <v>0.16168040003592862</v>
      </c>
    </row>
    <row r="138" spans="6:7" x14ac:dyDescent="0.3">
      <c r="F138" s="1">
        <v>705</v>
      </c>
      <c r="G138" s="183">
        <f t="shared" si="6"/>
        <v>0.16167096823643867</v>
      </c>
    </row>
    <row r="139" spans="6:7" x14ac:dyDescent="0.3">
      <c r="F139" s="1">
        <v>710</v>
      </c>
      <c r="G139" s="183">
        <f t="shared" si="6"/>
        <v>0.16166170480776332</v>
      </c>
    </row>
    <row r="140" spans="6:7" x14ac:dyDescent="0.3">
      <c r="F140" s="1">
        <v>715</v>
      </c>
      <c r="G140" s="183">
        <f t="shared" si="6"/>
        <v>0.16165260528177264</v>
      </c>
    </row>
    <row r="141" spans="6:7" x14ac:dyDescent="0.3">
      <c r="F141" s="1">
        <v>720</v>
      </c>
      <c r="G141" s="183">
        <f t="shared" si="6"/>
        <v>0.16164366534703145</v>
      </c>
    </row>
    <row r="142" spans="6:7" x14ac:dyDescent="0.3">
      <c r="F142" s="1">
        <v>725</v>
      </c>
      <c r="G142" s="183">
        <f t="shared" si="6"/>
        <v>0.16163488084199051</v>
      </c>
    </row>
    <row r="143" spans="6:7" x14ac:dyDescent="0.3">
      <c r="F143" s="1">
        <v>730</v>
      </c>
      <c r="G143" s="183">
        <f t="shared" si="6"/>
        <v>0.16162624774852999</v>
      </c>
    </row>
    <row r="144" spans="6:7" x14ac:dyDescent="0.3">
      <c r="F144" s="1">
        <v>735</v>
      </c>
      <c r="G144" s="183">
        <f t="shared" si="6"/>
        <v>0.16161776218583357</v>
      </c>
    </row>
    <row r="145" spans="6:7" x14ac:dyDescent="0.3">
      <c r="F145" s="1">
        <v>740</v>
      </c>
      <c r="G145" s="183">
        <f t="shared" si="6"/>
        <v>0.16160942040457399</v>
      </c>
    </row>
    <row r="146" spans="6:7" x14ac:dyDescent="0.3">
      <c r="F146" s="1">
        <v>745</v>
      </c>
      <c r="G146" s="183">
        <f t="shared" si="6"/>
        <v>0.1616012187813915</v>
      </c>
    </row>
    <row r="147" spans="6:7" x14ac:dyDescent="0.3">
      <c r="F147" s="1">
        <v>750</v>
      </c>
      <c r="G147" s="183">
        <f t="shared" si="6"/>
        <v>0.16159315381364805</v>
      </c>
    </row>
    <row r="148" spans="6:7" x14ac:dyDescent="0.3">
      <c r="F148" s="1">
        <v>755</v>
      </c>
      <c r="G148" s="183">
        <f t="shared" si="6"/>
        <v>0.16158522211444179</v>
      </c>
    </row>
    <row r="149" spans="6:7" x14ac:dyDescent="0.3">
      <c r="F149" s="1">
        <v>760</v>
      </c>
      <c r="G149" s="183">
        <f t="shared" si="6"/>
        <v>0.16157742040786616</v>
      </c>
    </row>
    <row r="150" spans="6:7" x14ac:dyDescent="0.3">
      <c r="F150" s="1">
        <v>765</v>
      </c>
      <c r="G150" s="183">
        <f t="shared" si="6"/>
        <v>0.16156974552450054</v>
      </c>
    </row>
    <row r="151" spans="6:7" x14ac:dyDescent="0.3">
      <c r="F151" s="1">
        <v>770</v>
      </c>
      <c r="G151" s="183">
        <f t="shared" si="6"/>
        <v>0.16156219439711852</v>
      </c>
    </row>
    <row r="152" spans="6:7" x14ac:dyDescent="0.3">
      <c r="F152" s="1">
        <v>775</v>
      </c>
      <c r="G152" s="183">
        <f t="shared" si="6"/>
        <v>0.16155476405660246</v>
      </c>
    </row>
    <row r="153" spans="6:7" x14ac:dyDescent="0.3">
      <c r="F153" s="1">
        <v>780</v>
      </c>
      <c r="G153" s="183">
        <f t="shared" si="6"/>
        <v>0.16154745162805217</v>
      </c>
    </row>
    <row r="154" spans="6:7" x14ac:dyDescent="0.3">
      <c r="F154" s="1">
        <v>785</v>
      </c>
      <c r="G154" s="183">
        <f t="shared" si="6"/>
        <v>0.16154025432707753</v>
      </c>
    </row>
    <row r="155" spans="6:7" x14ac:dyDescent="0.3">
      <c r="F155" s="1">
        <v>790</v>
      </c>
      <c r="G155" s="183">
        <f t="shared" si="6"/>
        <v>0.16153316945626453</v>
      </c>
    </row>
    <row r="156" spans="6:7" x14ac:dyDescent="0.3">
      <c r="F156" s="1">
        <v>795</v>
      </c>
      <c r="G156" s="183">
        <f t="shared" si="6"/>
        <v>0.16152619440180602</v>
      </c>
    </row>
    <row r="157" spans="6:7" x14ac:dyDescent="0.3">
      <c r="F157" s="1">
        <v>800</v>
      </c>
      <c r="G157" s="183">
        <f t="shared" si="6"/>
        <v>0.16151932663028737</v>
      </c>
    </row>
    <row r="158" spans="6:7" x14ac:dyDescent="0.3">
      <c r="F158" s="1">
        <v>805</v>
      </c>
      <c r="G158" s="183">
        <f t="shared" si="6"/>
        <v>0.16151256368561959</v>
      </c>
    </row>
    <row r="159" spans="6:7" x14ac:dyDescent="0.3">
      <c r="F159" s="1">
        <v>810</v>
      </c>
      <c r="G159" s="183">
        <f t="shared" si="6"/>
        <v>0.1615059031861118</v>
      </c>
    </row>
    <row r="160" spans="6:7" x14ac:dyDescent="0.3">
      <c r="F160" s="1">
        <v>815</v>
      </c>
      <c r="G160" s="183">
        <f t="shared" si="6"/>
        <v>0.1614993428216755</v>
      </c>
    </row>
    <row r="161" spans="6:7" x14ac:dyDescent="0.3">
      <c r="F161" s="1">
        <v>820</v>
      </c>
      <c r="G161" s="183">
        <f t="shared" si="6"/>
        <v>0.16149288035115397</v>
      </c>
    </row>
    <row r="162" spans="6:7" x14ac:dyDescent="0.3">
      <c r="F162" s="1">
        <v>825</v>
      </c>
      <c r="G162" s="183">
        <f t="shared" si="6"/>
        <v>0.16148651359977059</v>
      </c>
    </row>
    <row r="163" spans="6:7" x14ac:dyDescent="0.3">
      <c r="F163" s="1">
        <v>830</v>
      </c>
      <c r="G163" s="183">
        <f t="shared" si="6"/>
        <v>0.16148024045668932</v>
      </c>
    </row>
    <row r="164" spans="6:7" x14ac:dyDescent="0.3">
      <c r="F164" s="1">
        <v>835</v>
      </c>
      <c r="G164" s="183">
        <f t="shared" si="6"/>
        <v>0.16147405887268212</v>
      </c>
    </row>
    <row r="165" spans="6:7" x14ac:dyDescent="0.3">
      <c r="F165" s="1">
        <v>840</v>
      </c>
      <c r="G165" s="183">
        <f t="shared" si="6"/>
        <v>0.16146796685789788</v>
      </c>
    </row>
    <row r="166" spans="6:7" x14ac:dyDescent="0.3">
      <c r="F166" s="1">
        <v>845</v>
      </c>
      <c r="G166" s="183">
        <f t="shared" si="6"/>
        <v>0.16146196247972719</v>
      </c>
    </row>
    <row r="167" spans="6:7" x14ac:dyDescent="0.3">
      <c r="F167" s="1">
        <v>850</v>
      </c>
      <c r="G167" s="183">
        <f t="shared" si="6"/>
        <v>0.16145604386075912</v>
      </c>
    </row>
    <row r="168" spans="6:7" x14ac:dyDescent="0.3">
      <c r="F168" s="1">
        <v>855</v>
      </c>
      <c r="G168" s="183">
        <f t="shared" si="6"/>
        <v>0.16145020917682446</v>
      </c>
    </row>
    <row r="169" spans="6:7" x14ac:dyDescent="0.3">
      <c r="F169" s="1">
        <v>860</v>
      </c>
      <c r="G169" s="183">
        <f t="shared" si="6"/>
        <v>0.1614444566551218</v>
      </c>
    </row>
    <row r="170" spans="6:7" x14ac:dyDescent="0.3">
      <c r="F170" s="1">
        <v>865</v>
      </c>
      <c r="G170" s="183">
        <f t="shared" si="6"/>
        <v>0.16143878457242228</v>
      </c>
    </row>
    <row r="171" spans="6:7" x14ac:dyDescent="0.3">
      <c r="F171" s="1">
        <v>870</v>
      </c>
      <c r="G171" s="183">
        <f t="shared" si="6"/>
        <v>0.16143319125334876</v>
      </c>
    </row>
    <row r="172" spans="6:7" x14ac:dyDescent="0.3">
      <c r="F172" s="1">
        <v>875</v>
      </c>
      <c r="G172" s="183">
        <f t="shared" si="6"/>
        <v>0.16142767506872668</v>
      </c>
    </row>
    <row r="173" spans="6:7" x14ac:dyDescent="0.3">
      <c r="F173" s="1">
        <v>880</v>
      </c>
      <c r="G173" s="183">
        <f t="shared" si="6"/>
        <v>0.16142223443400217</v>
      </c>
    </row>
    <row r="174" spans="6:7" x14ac:dyDescent="0.3">
      <c r="F174" s="1">
        <v>885</v>
      </c>
      <c r="G174" s="183">
        <f t="shared" si="6"/>
        <v>0.16141686780772493</v>
      </c>
    </row>
    <row r="175" spans="6:7" x14ac:dyDescent="0.3">
      <c r="F175" s="1">
        <v>890</v>
      </c>
      <c r="G175" s="183">
        <f t="shared" si="6"/>
        <v>0.16141157369009279</v>
      </c>
    </row>
    <row r="176" spans="6:7" x14ac:dyDescent="0.3">
      <c r="F176" s="1">
        <v>895</v>
      </c>
      <c r="G176" s="183">
        <f t="shared" si="6"/>
        <v>0.16140635062155434</v>
      </c>
    </row>
    <row r="177" spans="6:7" x14ac:dyDescent="0.3">
      <c r="F177" s="1">
        <v>900</v>
      </c>
      <c r="G177" s="183">
        <f t="shared" si="6"/>
        <v>0.16140119718146786</v>
      </c>
    </row>
    <row r="178" spans="6:7" x14ac:dyDescent="0.3">
      <c r="F178" s="1">
        <v>905</v>
      </c>
      <c r="G178" s="183">
        <f t="shared" si="6"/>
        <v>0.16139611198681347</v>
      </c>
    </row>
    <row r="179" spans="6:7" x14ac:dyDescent="0.3">
      <c r="F179" s="1">
        <v>910</v>
      </c>
      <c r="G179" s="183">
        <f t="shared" si="6"/>
        <v>0.16139109369095581</v>
      </c>
    </row>
    <row r="180" spans="6:7" x14ac:dyDescent="0.3">
      <c r="F180" s="1">
        <v>915</v>
      </c>
      <c r="G180" s="183">
        <f t="shared" si="6"/>
        <v>0.16138614098245554</v>
      </c>
    </row>
    <row r="181" spans="6:7" x14ac:dyDescent="0.3">
      <c r="F181" s="1">
        <v>920</v>
      </c>
      <c r="G181" s="183">
        <f t="shared" si="6"/>
        <v>0.16138125258392699</v>
      </c>
    </row>
    <row r="182" spans="6:7" x14ac:dyDescent="0.3">
      <c r="F182" s="1">
        <v>925</v>
      </c>
      <c r="G182" s="183">
        <f t="shared" si="6"/>
        <v>0.16137642725094004</v>
      </c>
    </row>
    <row r="183" spans="6:7" x14ac:dyDescent="0.3">
      <c r="F183" s="1">
        <v>930</v>
      </c>
      <c r="G183" s="183">
        <f t="shared" si="6"/>
        <v>0.16137166377096415</v>
      </c>
    </row>
    <row r="184" spans="6:7" x14ac:dyDescent="0.3">
      <c r="F184" s="1">
        <v>935</v>
      </c>
      <c r="G184" s="183">
        <f t="shared" si="6"/>
        <v>0.16136696096235278</v>
      </c>
    </row>
    <row r="185" spans="6:7" x14ac:dyDescent="0.3">
      <c r="F185" s="1">
        <v>940</v>
      </c>
      <c r="G185" s="183">
        <f t="shared" si="6"/>
        <v>0.16136231767336645</v>
      </c>
    </row>
    <row r="186" spans="6:7" x14ac:dyDescent="0.3">
      <c r="F186" s="1">
        <v>945</v>
      </c>
      <c r="G186" s="183">
        <f t="shared" ref="G186:G249" si="7">$K$17+$K$18*($K$19*ATAN($K$20*F186+$K$22))</f>
        <v>0.16135773278123255</v>
      </c>
    </row>
    <row r="187" spans="6:7" x14ac:dyDescent="0.3">
      <c r="F187" s="1">
        <v>950</v>
      </c>
      <c r="G187" s="183">
        <f t="shared" si="7"/>
        <v>0.1613532051912403</v>
      </c>
    </row>
    <row r="188" spans="6:7" x14ac:dyDescent="0.3">
      <c r="F188" s="1">
        <v>955</v>
      </c>
      <c r="G188" s="183">
        <f t="shared" si="7"/>
        <v>0.1613487338358697</v>
      </c>
    </row>
    <row r="189" spans="6:7" x14ac:dyDescent="0.3">
      <c r="F189" s="1">
        <v>960</v>
      </c>
      <c r="G189" s="183">
        <f t="shared" si="7"/>
        <v>0.16134431767395241</v>
      </c>
    </row>
    <row r="190" spans="6:7" x14ac:dyDescent="0.3">
      <c r="F190" s="1">
        <v>965</v>
      </c>
      <c r="G190" s="183">
        <f t="shared" si="7"/>
        <v>0.16133995568986381</v>
      </c>
    </row>
    <row r="191" spans="6:7" x14ac:dyDescent="0.3">
      <c r="F191" s="1">
        <v>970</v>
      </c>
      <c r="G191" s="183">
        <f t="shared" si="7"/>
        <v>0.16133564689274438</v>
      </c>
    </row>
    <row r="192" spans="6:7" x14ac:dyDescent="0.3">
      <c r="F192" s="1">
        <v>975</v>
      </c>
      <c r="G192" s="183">
        <f t="shared" si="7"/>
        <v>0.16133139031574947</v>
      </c>
    </row>
    <row r="193" spans="6:7" x14ac:dyDescent="0.3">
      <c r="F193" s="1">
        <v>980</v>
      </c>
      <c r="G193" s="183">
        <f t="shared" si="7"/>
        <v>0.16132718501532617</v>
      </c>
    </row>
    <row r="194" spans="6:7" x14ac:dyDescent="0.3">
      <c r="F194" s="1">
        <v>985</v>
      </c>
      <c r="G194" s="183">
        <f t="shared" si="7"/>
        <v>0.16132303007051624</v>
      </c>
    </row>
    <row r="195" spans="6:7" x14ac:dyDescent="0.3">
      <c r="F195" s="1">
        <v>990</v>
      </c>
      <c r="G195" s="183">
        <f t="shared" si="7"/>
        <v>0.16131892458228372</v>
      </c>
    </row>
    <row r="196" spans="6:7" x14ac:dyDescent="0.3">
      <c r="F196" s="1">
        <v>995</v>
      </c>
      <c r="G196" s="183">
        <f t="shared" si="7"/>
        <v>0.16131486767286657</v>
      </c>
    </row>
    <row r="197" spans="6:7" x14ac:dyDescent="0.3">
      <c r="F197" s="1">
        <v>1000</v>
      </c>
      <c r="G197" s="183">
        <f t="shared" si="7"/>
        <v>0.1613108584851512</v>
      </c>
    </row>
    <row r="198" spans="6:7" x14ac:dyDescent="0.3">
      <c r="F198" s="1">
        <v>1005</v>
      </c>
      <c r="G198" s="183">
        <f t="shared" si="7"/>
        <v>0.16130689618206875</v>
      </c>
    </row>
    <row r="199" spans="6:7" x14ac:dyDescent="0.3">
      <c r="F199" s="1">
        <v>1010</v>
      </c>
      <c r="G199" s="183">
        <f t="shared" si="7"/>
        <v>0.16130297994601278</v>
      </c>
    </row>
    <row r="200" spans="6:7" x14ac:dyDescent="0.3">
      <c r="F200" s="1">
        <v>1015</v>
      </c>
      <c r="G200" s="183">
        <f t="shared" si="7"/>
        <v>0.16129910897827668</v>
      </c>
    </row>
    <row r="201" spans="6:7" x14ac:dyDescent="0.3">
      <c r="F201" s="1">
        <v>1020</v>
      </c>
      <c r="G201" s="183">
        <f t="shared" si="7"/>
        <v>0.16129528249851083</v>
      </c>
    </row>
    <row r="202" spans="6:7" x14ac:dyDescent="0.3">
      <c r="F202" s="1">
        <v>1025</v>
      </c>
      <c r="G202" s="183">
        <f t="shared" si="7"/>
        <v>0.16129149974419826</v>
      </c>
    </row>
    <row r="203" spans="6:7" x14ac:dyDescent="0.3">
      <c r="F203" s="1">
        <v>1030</v>
      </c>
      <c r="G203" s="183">
        <f t="shared" si="7"/>
        <v>0.16128775997014821</v>
      </c>
    </row>
    <row r="204" spans="6:7" x14ac:dyDescent="0.3">
      <c r="F204" s="1">
        <v>1035</v>
      </c>
      <c r="G204" s="183">
        <f t="shared" si="7"/>
        <v>0.16128406244800669</v>
      </c>
    </row>
    <row r="205" spans="6:7" x14ac:dyDescent="0.3">
      <c r="F205" s="1">
        <v>1040</v>
      </c>
      <c r="G205" s="183">
        <f t="shared" si="7"/>
        <v>0.16128040646578373</v>
      </c>
    </row>
    <row r="206" spans="6:7" x14ac:dyDescent="0.3">
      <c r="F206" s="1">
        <v>1045</v>
      </c>
      <c r="G206" s="183">
        <f t="shared" si="7"/>
        <v>0.16127679132739645</v>
      </c>
    </row>
    <row r="207" spans="6:7" x14ac:dyDescent="0.3">
      <c r="F207" s="1">
        <v>1050</v>
      </c>
      <c r="G207" s="183">
        <f t="shared" si="7"/>
        <v>0.16127321635222727</v>
      </c>
    </row>
    <row r="208" spans="6:7" x14ac:dyDescent="0.3">
      <c r="F208" s="1">
        <v>1055</v>
      </c>
      <c r="G208" s="183">
        <f t="shared" si="7"/>
        <v>0.16126968087469673</v>
      </c>
    </row>
    <row r="209" spans="6:7" x14ac:dyDescent="0.3">
      <c r="F209" s="1">
        <v>1060</v>
      </c>
      <c r="G209" s="183">
        <f t="shared" si="7"/>
        <v>0.16126618424385053</v>
      </c>
    </row>
    <row r="210" spans="6:7" x14ac:dyDescent="0.3">
      <c r="F210" s="1">
        <v>1065</v>
      </c>
      <c r="G210" s="183">
        <f t="shared" si="7"/>
        <v>0.16126272582296008</v>
      </c>
    </row>
    <row r="211" spans="6:7" x14ac:dyDescent="0.3">
      <c r="F211" s="1">
        <v>1070</v>
      </c>
      <c r="G211" s="183">
        <f t="shared" si="7"/>
        <v>0.16125930498913585</v>
      </c>
    </row>
    <row r="212" spans="6:7" x14ac:dyDescent="0.3">
      <c r="F212" s="1">
        <v>1075</v>
      </c>
      <c r="G212" s="183">
        <f t="shared" si="7"/>
        <v>0.16125592113295362</v>
      </c>
    </row>
    <row r="213" spans="6:7" x14ac:dyDescent="0.3">
      <c r="F213" s="1">
        <v>1080</v>
      </c>
      <c r="G213" s="183">
        <f t="shared" si="7"/>
        <v>0.16125257365809251</v>
      </c>
    </row>
    <row r="214" spans="6:7" x14ac:dyDescent="0.3">
      <c r="F214" s="1">
        <v>1085</v>
      </c>
      <c r="G214" s="183">
        <f t="shared" si="7"/>
        <v>0.16124926198098466</v>
      </c>
    </row>
    <row r="215" spans="6:7" x14ac:dyDescent="0.3">
      <c r="F215" s="1">
        <v>1090</v>
      </c>
      <c r="G215" s="183">
        <f t="shared" si="7"/>
        <v>0.16124598553047625</v>
      </c>
    </row>
    <row r="216" spans="6:7" x14ac:dyDescent="0.3">
      <c r="F216" s="1">
        <v>1095</v>
      </c>
      <c r="G216" s="183">
        <f t="shared" si="7"/>
        <v>0.16124274374749903</v>
      </c>
    </row>
    <row r="217" spans="6:7" x14ac:dyDescent="0.3">
      <c r="F217" s="1">
        <v>1100</v>
      </c>
      <c r="G217" s="183">
        <f t="shared" si="7"/>
        <v>0.16123953608475244</v>
      </c>
    </row>
    <row r="218" spans="6:7" x14ac:dyDescent="0.3">
      <c r="F218" s="1">
        <v>1105</v>
      </c>
      <c r="G218" s="183">
        <f t="shared" si="7"/>
        <v>0.16123636200639563</v>
      </c>
    </row>
    <row r="219" spans="6:7" x14ac:dyDescent="0.3">
      <c r="F219" s="1">
        <v>1110</v>
      </c>
      <c r="G219" s="183">
        <f t="shared" si="7"/>
        <v>0.16123322098774895</v>
      </c>
    </row>
    <row r="220" spans="6:7" x14ac:dyDescent="0.3">
      <c r="F220" s="1">
        <v>1115</v>
      </c>
      <c r="G220" s="183">
        <f t="shared" si="7"/>
        <v>0.16123011251500505</v>
      </c>
    </row>
    <row r="221" spans="6:7" x14ac:dyDescent="0.3">
      <c r="F221" s="1">
        <v>1120</v>
      </c>
      <c r="G221" s="183">
        <f t="shared" si="7"/>
        <v>0.1612270360849487</v>
      </c>
    </row>
    <row r="222" spans="6:7" x14ac:dyDescent="0.3">
      <c r="F222" s="1">
        <v>1125</v>
      </c>
      <c r="G222" s="183">
        <f t="shared" si="7"/>
        <v>0.16122399120468511</v>
      </c>
    </row>
    <row r="223" spans="6:7" x14ac:dyDescent="0.3">
      <c r="F223" s="1">
        <v>1130</v>
      </c>
      <c r="G223" s="183">
        <f t="shared" si="7"/>
        <v>0.16122097739137684</v>
      </c>
    </row>
    <row r="224" spans="6:7" x14ac:dyDescent="0.3">
      <c r="F224" s="1">
        <v>1135</v>
      </c>
      <c r="G224" s="183">
        <f t="shared" si="7"/>
        <v>0.16121799417198857</v>
      </c>
    </row>
    <row r="225" spans="6:7" x14ac:dyDescent="0.3">
      <c r="F225" s="1">
        <v>1140</v>
      </c>
      <c r="G225" s="183">
        <f t="shared" si="7"/>
        <v>0.16121504108303961</v>
      </c>
    </row>
    <row r="226" spans="6:7" x14ac:dyDescent="0.3">
      <c r="F226" s="1">
        <v>1145</v>
      </c>
      <c r="G226" s="183">
        <f t="shared" si="7"/>
        <v>0.16121211767036386</v>
      </c>
    </row>
    <row r="227" spans="6:7" x14ac:dyDescent="0.3">
      <c r="F227" s="1">
        <v>1150</v>
      </c>
      <c r="G227" s="183">
        <f t="shared" si="7"/>
        <v>0.16120922348887701</v>
      </c>
    </row>
    <row r="228" spans="6:7" x14ac:dyDescent="0.3">
      <c r="F228" s="1">
        <v>1155</v>
      </c>
      <c r="G228" s="183">
        <f t="shared" si="7"/>
        <v>0.16120635810235065</v>
      </c>
    </row>
    <row r="229" spans="6:7" x14ac:dyDescent="0.3">
      <c r="F229" s="1">
        <v>1160</v>
      </c>
      <c r="G229" s="183">
        <f t="shared" si="7"/>
        <v>0.16120352108319322</v>
      </c>
    </row>
    <row r="230" spans="6:7" x14ac:dyDescent="0.3">
      <c r="F230" s="1">
        <v>1165</v>
      </c>
      <c r="G230" s="183">
        <f t="shared" si="7"/>
        <v>0.16120071201223712</v>
      </c>
    </row>
    <row r="231" spans="6:7" x14ac:dyDescent="0.3">
      <c r="F231" s="1">
        <v>1170</v>
      </c>
      <c r="G231" s="183">
        <f t="shared" si="7"/>
        <v>0.16119793047853254</v>
      </c>
    </row>
    <row r="232" spans="6:7" x14ac:dyDescent="0.3">
      <c r="F232" s="1">
        <v>1175</v>
      </c>
      <c r="G232" s="183">
        <f t="shared" si="7"/>
        <v>0.16119517607914668</v>
      </c>
    </row>
    <row r="233" spans="6:7" x14ac:dyDescent="0.3">
      <c r="F233" s="1">
        <v>1180</v>
      </c>
      <c r="G233" s="183">
        <f t="shared" si="7"/>
        <v>0.16119244841896974</v>
      </c>
    </row>
    <row r="234" spans="6:7" x14ac:dyDescent="0.3">
      <c r="F234" s="1">
        <v>1185</v>
      </c>
      <c r="G234" s="183">
        <f t="shared" si="7"/>
        <v>0.16118974711052544</v>
      </c>
    </row>
    <row r="235" spans="6:7" x14ac:dyDescent="0.3">
      <c r="F235" s="1">
        <v>1190</v>
      </c>
      <c r="G235" s="183">
        <f t="shared" si="7"/>
        <v>0.16118707177378794</v>
      </c>
    </row>
    <row r="236" spans="6:7" x14ac:dyDescent="0.3">
      <c r="F236" s="1">
        <v>1195</v>
      </c>
      <c r="G236" s="183">
        <f t="shared" si="7"/>
        <v>0.16118442203600344</v>
      </c>
    </row>
    <row r="237" spans="6:7" x14ac:dyDescent="0.3">
      <c r="F237" s="1">
        <v>1200</v>
      </c>
      <c r="G237" s="183">
        <f t="shared" si="7"/>
        <v>0.16118179753151718</v>
      </c>
    </row>
    <row r="238" spans="6:7" x14ac:dyDescent="0.3">
      <c r="F238" s="1">
        <v>1205</v>
      </c>
      <c r="G238" s="183">
        <f t="shared" si="7"/>
        <v>0.16117919790160512</v>
      </c>
    </row>
    <row r="239" spans="6:7" x14ac:dyDescent="0.3">
      <c r="F239" s="1">
        <v>1210</v>
      </c>
      <c r="G239" s="183">
        <f t="shared" si="7"/>
        <v>0.16117662279431072</v>
      </c>
    </row>
    <row r="240" spans="6:7" x14ac:dyDescent="0.3">
      <c r="F240" s="1">
        <v>1215</v>
      </c>
      <c r="G240" s="183">
        <f t="shared" si="7"/>
        <v>0.16117407186428581</v>
      </c>
    </row>
    <row r="241" spans="6:7" x14ac:dyDescent="0.3">
      <c r="F241" s="1">
        <v>1220</v>
      </c>
      <c r="G241" s="183">
        <f t="shared" si="7"/>
        <v>0.16117154477263651</v>
      </c>
    </row>
    <row r="242" spans="6:7" x14ac:dyDescent="0.3">
      <c r="F242" s="1">
        <v>1225</v>
      </c>
      <c r="G242" s="183">
        <f t="shared" si="7"/>
        <v>0.16116904118677289</v>
      </c>
    </row>
    <row r="243" spans="6:7" x14ac:dyDescent="0.3">
      <c r="F243" s="1">
        <v>1230</v>
      </c>
      <c r="G243" s="183">
        <f t="shared" si="7"/>
        <v>0.16116656078026337</v>
      </c>
    </row>
    <row r="244" spans="6:7" x14ac:dyDescent="0.3">
      <c r="F244" s="1">
        <v>1235</v>
      </c>
      <c r="G244" s="183">
        <f t="shared" si="7"/>
        <v>0.16116410323269253</v>
      </c>
    </row>
    <row r="245" spans="6:7" x14ac:dyDescent="0.3">
      <c r="F245" s="1">
        <v>1240</v>
      </c>
      <c r="G245" s="183">
        <f t="shared" si="7"/>
        <v>0.16116166822952341</v>
      </c>
    </row>
    <row r="246" spans="6:7" x14ac:dyDescent="0.3">
      <c r="F246" s="1">
        <v>1245</v>
      </c>
      <c r="G246" s="183">
        <f t="shared" si="7"/>
        <v>0.16115925546196314</v>
      </c>
    </row>
    <row r="247" spans="6:7" x14ac:dyDescent="0.3">
      <c r="F247" s="1">
        <v>1250</v>
      </c>
      <c r="G247" s="183">
        <f t="shared" si="7"/>
        <v>0.16115686462683251</v>
      </c>
    </row>
    <row r="248" spans="6:7" x14ac:dyDescent="0.3">
      <c r="F248" s="1">
        <v>1255</v>
      </c>
      <c r="G248" s="183">
        <f t="shared" si="7"/>
        <v>0.161154495426439</v>
      </c>
    </row>
    <row r="249" spans="6:7" x14ac:dyDescent="0.3">
      <c r="F249" s="1">
        <v>1260</v>
      </c>
      <c r="G249" s="183">
        <f t="shared" si="7"/>
        <v>0.16115214756845309</v>
      </c>
    </row>
    <row r="250" spans="6:7" x14ac:dyDescent="0.3">
      <c r="F250" s="1">
        <v>1265</v>
      </c>
      <c r="G250" s="183">
        <f t="shared" ref="G250:G297" si="8">$K$17+$K$18*($K$19*ATAN($K$20*F250+$K$22))</f>
        <v>0.16114982076578821</v>
      </c>
    </row>
    <row r="251" spans="6:7" x14ac:dyDescent="0.3">
      <c r="F251" s="1">
        <v>1270</v>
      </c>
      <c r="G251" s="183">
        <f t="shared" si="8"/>
        <v>0.16114751473648367</v>
      </c>
    </row>
    <row r="252" spans="6:7" x14ac:dyDescent="0.3">
      <c r="F252" s="1">
        <v>1275</v>
      </c>
      <c r="G252" s="183">
        <f t="shared" si="8"/>
        <v>0.16114522920359065</v>
      </c>
    </row>
    <row r="253" spans="6:7" x14ac:dyDescent="0.3">
      <c r="F253" s="1">
        <v>1280</v>
      </c>
      <c r="G253" s="183">
        <f t="shared" si="8"/>
        <v>0.16114296389506153</v>
      </c>
    </row>
    <row r="254" spans="6:7" x14ac:dyDescent="0.3">
      <c r="F254" s="1">
        <v>1285</v>
      </c>
      <c r="G254" s="183">
        <f t="shared" si="8"/>
        <v>0.16114071854364176</v>
      </c>
    </row>
    <row r="255" spans="6:7" x14ac:dyDescent="0.3">
      <c r="F255" s="1">
        <v>1290</v>
      </c>
      <c r="G255" s="183">
        <f t="shared" si="8"/>
        <v>0.16113849288676496</v>
      </c>
    </row>
    <row r="256" spans="6:7" x14ac:dyDescent="0.3">
      <c r="F256" s="1">
        <v>1295</v>
      </c>
      <c r="G256" s="183">
        <f t="shared" si="8"/>
        <v>0.16113628666645044</v>
      </c>
    </row>
    <row r="257" spans="6:7" x14ac:dyDescent="0.3">
      <c r="F257" s="1">
        <v>1300</v>
      </c>
      <c r="G257" s="183">
        <f t="shared" si="8"/>
        <v>0.1611340996292035</v>
      </c>
    </row>
    <row r="258" spans="6:7" x14ac:dyDescent="0.3">
      <c r="F258" s="1">
        <v>1305</v>
      </c>
      <c r="G258" s="183">
        <f t="shared" si="8"/>
        <v>0.16113193152591851</v>
      </c>
    </row>
    <row r="259" spans="6:7" x14ac:dyDescent="0.3">
      <c r="F259" s="1">
        <v>1310</v>
      </c>
      <c r="G259" s="183">
        <f t="shared" si="8"/>
        <v>0.16112978211178414</v>
      </c>
    </row>
    <row r="260" spans="6:7" x14ac:dyDescent="0.3">
      <c r="F260" s="1">
        <v>1315</v>
      </c>
      <c r="G260" s="183">
        <f t="shared" si="8"/>
        <v>0.16112765114619132</v>
      </c>
    </row>
    <row r="261" spans="6:7" x14ac:dyDescent="0.3">
      <c r="F261" s="1">
        <v>1320</v>
      </c>
      <c r="G261" s="183">
        <f t="shared" si="8"/>
        <v>0.16112553839264349</v>
      </c>
    </row>
    <row r="262" spans="6:7" x14ac:dyDescent="0.3">
      <c r="F262" s="1">
        <v>1325</v>
      </c>
      <c r="G262" s="183">
        <f t="shared" si="8"/>
        <v>0.16112344361866909</v>
      </c>
    </row>
    <row r="263" spans="6:7" x14ac:dyDescent="0.3">
      <c r="F263" s="1">
        <v>1330</v>
      </c>
      <c r="G263" s="183">
        <f t="shared" si="8"/>
        <v>0.16112136659573617</v>
      </c>
    </row>
    <row r="264" spans="6:7" x14ac:dyDescent="0.3">
      <c r="F264" s="1">
        <v>1335</v>
      </c>
      <c r="G264" s="183">
        <f t="shared" si="8"/>
        <v>0.16111930709916955</v>
      </c>
    </row>
    <row r="265" spans="6:7" x14ac:dyDescent="0.3">
      <c r="F265" s="1">
        <v>1340</v>
      </c>
      <c r="G265" s="183">
        <f t="shared" si="8"/>
        <v>0.16111726490806955</v>
      </c>
    </row>
    <row r="266" spans="6:7" x14ac:dyDescent="0.3">
      <c r="F266" s="1">
        <v>1345</v>
      </c>
      <c r="G266" s="183">
        <f t="shared" si="8"/>
        <v>0.16111523980523312</v>
      </c>
    </row>
    <row r="267" spans="6:7" x14ac:dyDescent="0.3">
      <c r="F267" s="1">
        <v>1350</v>
      </c>
      <c r="G267" s="183">
        <f t="shared" si="8"/>
        <v>0.16111323157707691</v>
      </c>
    </row>
    <row r="268" spans="6:7" x14ac:dyDescent="0.3">
      <c r="F268" s="1">
        <v>1355</v>
      </c>
      <c r="G268" s="183">
        <f t="shared" si="8"/>
        <v>0.16111124001356203</v>
      </c>
    </row>
    <row r="269" spans="6:7" x14ac:dyDescent="0.3">
      <c r="F269" s="1">
        <v>1360</v>
      </c>
      <c r="G269" s="183">
        <f t="shared" si="8"/>
        <v>0.16110926490812097</v>
      </c>
    </row>
    <row r="270" spans="6:7" x14ac:dyDescent="0.3">
      <c r="F270" s="1">
        <v>1365</v>
      </c>
      <c r="G270" s="183">
        <f t="shared" si="8"/>
        <v>0.16110730605758611</v>
      </c>
    </row>
    <row r="271" spans="6:7" x14ac:dyDescent="0.3">
      <c r="F271" s="1">
        <v>1370</v>
      </c>
      <c r="G271" s="183">
        <f t="shared" si="8"/>
        <v>0.16110536326212005</v>
      </c>
    </row>
    <row r="272" spans="6:7" x14ac:dyDescent="0.3">
      <c r="F272" s="1">
        <v>1375</v>
      </c>
      <c r="G272" s="183">
        <f t="shared" si="8"/>
        <v>0.16110343632514765</v>
      </c>
    </row>
    <row r="273" spans="6:7" x14ac:dyDescent="0.3">
      <c r="F273" s="1">
        <v>1380</v>
      </c>
      <c r="G273" s="183">
        <f t="shared" si="8"/>
        <v>0.16110152505328984</v>
      </c>
    </row>
    <row r="274" spans="6:7" x14ac:dyDescent="0.3">
      <c r="F274" s="1">
        <v>1385</v>
      </c>
      <c r="G274" s="183">
        <f t="shared" si="8"/>
        <v>0.16109962925629878</v>
      </c>
    </row>
    <row r="275" spans="6:7" x14ac:dyDescent="0.3">
      <c r="F275" s="1">
        <v>1390</v>
      </c>
      <c r="G275" s="183">
        <f t="shared" si="8"/>
        <v>0.16109774874699484</v>
      </c>
    </row>
    <row r="276" spans="6:7" x14ac:dyDescent="0.3">
      <c r="F276" s="1">
        <v>1395</v>
      </c>
      <c r="G276" s="183">
        <f t="shared" si="8"/>
        <v>0.161095883341205</v>
      </c>
    </row>
    <row r="277" spans="6:7" x14ac:dyDescent="0.3">
      <c r="F277" s="1">
        <v>1400</v>
      </c>
      <c r="G277" s="183">
        <f t="shared" si="8"/>
        <v>0.16109403285770257</v>
      </c>
    </row>
    <row r="278" spans="6:7" x14ac:dyDescent="0.3">
      <c r="F278" s="1">
        <v>1405</v>
      </c>
      <c r="G278" s="183">
        <f t="shared" si="8"/>
        <v>0.16109219711814873</v>
      </c>
    </row>
    <row r="279" spans="6:7" x14ac:dyDescent="0.3">
      <c r="F279" s="1">
        <v>1410</v>
      </c>
      <c r="G279" s="183">
        <f t="shared" si="8"/>
        <v>0.16109037594703512</v>
      </c>
    </row>
    <row r="280" spans="6:7" x14ac:dyDescent="0.3">
      <c r="F280" s="1">
        <v>1415</v>
      </c>
      <c r="G280" s="183">
        <f t="shared" si="8"/>
        <v>0.16108856917162792</v>
      </c>
    </row>
    <row r="281" spans="6:7" x14ac:dyDescent="0.3">
      <c r="F281" s="1">
        <v>1420</v>
      </c>
      <c r="G281" s="183">
        <f t="shared" si="8"/>
        <v>0.16108677662191326</v>
      </c>
    </row>
    <row r="282" spans="6:7" x14ac:dyDescent="0.3">
      <c r="F282" s="1">
        <v>1425</v>
      </c>
      <c r="G282" s="183">
        <f t="shared" si="8"/>
        <v>0.16108499813054383</v>
      </c>
    </row>
    <row r="283" spans="6:7" x14ac:dyDescent="0.3">
      <c r="F283" s="1">
        <v>1430</v>
      </c>
      <c r="G283" s="183">
        <f t="shared" si="8"/>
        <v>0.16108323353278689</v>
      </c>
    </row>
    <row r="284" spans="6:7" x14ac:dyDescent="0.3">
      <c r="F284" s="1">
        <v>1435</v>
      </c>
      <c r="G284" s="183">
        <f t="shared" si="8"/>
        <v>0.16108148266647337</v>
      </c>
    </row>
    <row r="285" spans="6:7" x14ac:dyDescent="0.3">
      <c r="F285" s="1">
        <v>1440</v>
      </c>
      <c r="G285" s="183">
        <f t="shared" si="8"/>
        <v>0.16107974537194819</v>
      </c>
    </row>
    <row r="286" spans="6:7" x14ac:dyDescent="0.3">
      <c r="F286" s="1">
        <v>1445</v>
      </c>
      <c r="G286" s="183">
        <f t="shared" si="8"/>
        <v>0.16107802149202172</v>
      </c>
    </row>
    <row r="287" spans="6:7" x14ac:dyDescent="0.3">
      <c r="F287" s="1">
        <v>1450</v>
      </c>
      <c r="G287" s="183">
        <f t="shared" si="8"/>
        <v>0.16107631087192245</v>
      </c>
    </row>
    <row r="288" spans="6:7" x14ac:dyDescent="0.3">
      <c r="F288" s="1">
        <v>1455</v>
      </c>
      <c r="G288" s="183">
        <f t="shared" si="8"/>
        <v>0.16107461335925055</v>
      </c>
    </row>
    <row r="289" spans="6:7" x14ac:dyDescent="0.3">
      <c r="F289" s="1">
        <v>1460</v>
      </c>
      <c r="G289" s="183">
        <f t="shared" si="8"/>
        <v>0.16107292880393267</v>
      </c>
    </row>
    <row r="290" spans="6:7" x14ac:dyDescent="0.3">
      <c r="F290" s="1">
        <v>1465</v>
      </c>
      <c r="G290" s="183">
        <f t="shared" si="8"/>
        <v>0.16107125705817782</v>
      </c>
    </row>
    <row r="291" spans="6:7" x14ac:dyDescent="0.3">
      <c r="F291" s="1">
        <v>1470</v>
      </c>
      <c r="G291" s="183">
        <f t="shared" si="8"/>
        <v>0.16106959797643394</v>
      </c>
    </row>
    <row r="292" spans="6:7" x14ac:dyDescent="0.3">
      <c r="F292" s="1">
        <v>1475</v>
      </c>
      <c r="G292" s="183">
        <f t="shared" si="8"/>
        <v>0.16106795141534583</v>
      </c>
    </row>
    <row r="293" spans="6:7" x14ac:dyDescent="0.3">
      <c r="F293" s="1">
        <v>1480</v>
      </c>
      <c r="G293" s="183">
        <f t="shared" si="8"/>
        <v>0.16106631723371378</v>
      </c>
    </row>
    <row r="294" spans="6:7" x14ac:dyDescent="0.3">
      <c r="F294" s="1">
        <v>1485</v>
      </c>
      <c r="G294" s="183">
        <f t="shared" si="8"/>
        <v>0.16106469529245326</v>
      </c>
    </row>
    <row r="295" spans="6:7" x14ac:dyDescent="0.3">
      <c r="F295" s="1">
        <v>1490</v>
      </c>
      <c r="G295" s="183">
        <f t="shared" si="8"/>
        <v>0.16106308545455539</v>
      </c>
    </row>
    <row r="296" spans="6:7" x14ac:dyDescent="0.3">
      <c r="F296" s="1">
        <v>1495</v>
      </c>
      <c r="G296" s="183">
        <f t="shared" si="8"/>
        <v>0.16106148758504851</v>
      </c>
    </row>
    <row r="297" spans="6:7" x14ac:dyDescent="0.3">
      <c r="F297" s="1">
        <v>1500</v>
      </c>
      <c r="G297" s="183">
        <f t="shared" si="8"/>
        <v>0.1610599015509602</v>
      </c>
    </row>
  </sheetData>
  <mergeCells count="1">
    <mergeCell ref="A27:C27"/>
  </mergeCells>
  <pageMargins left="0.7" right="0.7" top="0.75" bottom="0.75" header="0.3" footer="0.3"/>
  <pageSetup paperSize="9"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About</vt:lpstr>
      <vt:lpstr>General Parameters</vt:lpstr>
      <vt:lpstr>Baseline</vt:lpstr>
      <vt:lpstr>Bioenergy</vt:lpstr>
      <vt:lpstr> Solar-thermal</vt:lpstr>
      <vt:lpstr>Heat Pump</vt:lpstr>
      <vt:lpstr>Geothermal</vt:lpstr>
      <vt:lpstr>Other</vt:lpstr>
      <vt:lpstr>Summary</vt:lpstr>
      <vt:lpstr>Baseline_DCF</vt:lpstr>
      <vt:lpstr>Biomass_DCF</vt:lpstr>
      <vt:lpstr>Solar_DCF</vt:lpstr>
      <vt:lpstr>HeatPump_DCF</vt:lpstr>
      <vt:lpstr>Geo_DCF</vt:lpstr>
      <vt:lpstr>Other_DCF</vt:lpstr>
      <vt:lpstr>Solar Calculator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Keith</dc:creator>
  <cp:lastModifiedBy>Keith</cp:lastModifiedBy>
  <cp:lastPrinted>2015-07-31T03:39:17Z</cp:lastPrinted>
  <dcterms:created xsi:type="dcterms:W3CDTF">2014-09-02T01:12:32Z</dcterms:created>
  <dcterms:modified xsi:type="dcterms:W3CDTF">2015-10-02T01:29:07Z</dcterms:modified>
</cp:coreProperties>
</file>